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rakai-my.sharepoint.com/personal/diana_bagdeviciene_trakai_lt/Documents/Desktop/FINANSŲ SKYRIUS/BIUDŽETAS_TARYBOS SPRENDIMAI/Trakai_biudžeto formavimas 2026/VIEŠINIMUI/"/>
    </mc:Choice>
  </mc:AlternateContent>
  <xr:revisionPtr revIDLastSave="11" documentId="8_{B0396C07-02FE-46B3-BC42-69E781AB0559}" xr6:coauthVersionLast="47" xr6:coauthVersionMax="47" xr10:uidLastSave="{BF577798-29B2-475F-8A3E-837AE8FBA9A4}"/>
  <bookViews>
    <workbookView xWindow="-120" yWindow="-120" windowWidth="29040" windowHeight="15720" tabRatio="798" xr2:uid="{00000000-000D-0000-FFFF-FFFF00000000}"/>
  </bookViews>
  <sheets>
    <sheet name="1 priedas" sheetId="36" r:id="rId1"/>
    <sheet name="2 priedas " sheetId="26" r:id="rId2"/>
    <sheet name="3 priedas" sheetId="35" r:id="rId3"/>
    <sheet name="4 priedas" sheetId="49" r:id="rId4"/>
    <sheet name="5 priedas" sheetId="28" r:id="rId5"/>
    <sheet name="6 priedas" sheetId="29" r:id="rId6"/>
    <sheet name="7 priedas" sheetId="56" r:id="rId7"/>
    <sheet name="8 priedas" sheetId="39" r:id="rId8"/>
    <sheet name=" 9 priedas" sheetId="55" r:id="rId9"/>
    <sheet name="10 priedas" sheetId="54" r:id="rId10"/>
    <sheet name="11 priedas" sheetId="6" r:id="rId11"/>
    <sheet name="12 priedas" sheetId="7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55" l="1"/>
  <c r="B14" i="55"/>
  <c r="B15" i="55" s="1"/>
  <c r="B16" i="55" s="1"/>
  <c r="B17" i="55" s="1"/>
  <c r="B18" i="55" s="1"/>
  <c r="B19" i="55" s="1"/>
  <c r="B13" i="55"/>
  <c r="C103" i="36"/>
  <c r="C47" i="36"/>
  <c r="C39" i="36"/>
  <c r="C31" i="36"/>
  <c r="C26" i="36"/>
  <c r="C22" i="36"/>
  <c r="C21" i="36"/>
  <c r="C18" i="36"/>
  <c r="C14" i="36"/>
  <c r="C9" i="36"/>
  <c r="C91" i="36"/>
  <c r="F78" i="6"/>
  <c r="F67" i="6"/>
  <c r="D49" i="6"/>
  <c r="C49" i="6"/>
  <c r="C11" i="6"/>
  <c r="D11" i="6"/>
  <c r="F11" i="6"/>
  <c r="F110" i="6"/>
  <c r="F170" i="6"/>
  <c r="F49" i="6"/>
  <c r="F157" i="6"/>
  <c r="D13" i="7"/>
  <c r="C52" i="6"/>
  <c r="C57" i="6"/>
  <c r="B30" i="39"/>
  <c r="B32" i="39"/>
  <c r="B34" i="39"/>
  <c r="B36" i="39"/>
  <c r="B38" i="39"/>
  <c r="B40" i="39"/>
  <c r="B42" i="39"/>
  <c r="B44" i="39"/>
  <c r="B47" i="39"/>
  <c r="B49" i="39"/>
  <c r="B51" i="39"/>
  <c r="B53" i="39"/>
  <c r="B55" i="39"/>
  <c r="B57" i="39"/>
  <c r="B59" i="39"/>
  <c r="B61" i="39"/>
  <c r="B64" i="39"/>
  <c r="B66" i="39"/>
  <c r="B68" i="39"/>
  <c r="B70" i="39"/>
  <c r="B72" i="39"/>
  <c r="B74" i="39"/>
  <c r="B76" i="39"/>
  <c r="B78" i="39"/>
  <c r="B81" i="39"/>
  <c r="B83" i="39"/>
  <c r="B85" i="39"/>
  <c r="B87" i="39"/>
  <c r="B89" i="39"/>
  <c r="B91" i="39"/>
  <c r="B93" i="39"/>
  <c r="B95" i="39"/>
  <c r="B17" i="39"/>
  <c r="B19" i="39"/>
  <c r="B21" i="39"/>
  <c r="B23" i="39"/>
  <c r="B25" i="39"/>
  <c r="B27" i="39"/>
  <c r="C43" i="36"/>
  <c r="C48" i="36"/>
  <c r="D52" i="6"/>
  <c r="D66" i="6"/>
  <c r="D12" i="6"/>
  <c r="E41" i="35"/>
  <c r="A81" i="36"/>
  <c r="A82" i="36" s="1"/>
  <c r="A83" i="36" s="1"/>
  <c r="A84" i="36" s="1"/>
  <c r="A85" i="36" s="1"/>
  <c r="A87" i="36"/>
  <c r="A88" i="36" s="1"/>
  <c r="A89" i="36" s="1"/>
  <c r="A90" i="36" s="1"/>
  <c r="A91" i="36" s="1"/>
  <c r="A93" i="36"/>
  <c r="A94" i="36" s="1"/>
  <c r="A95" i="36" s="1"/>
  <c r="A96" i="36" s="1"/>
  <c r="A97" i="36" s="1"/>
  <c r="A99" i="36"/>
  <c r="A100" i="36" s="1"/>
  <c r="A101" i="36" s="1"/>
  <c r="A102" i="36" s="1"/>
  <c r="A103" i="36" s="1"/>
  <c r="C101" i="6"/>
  <c r="C91" i="26"/>
  <c r="D72" i="39"/>
  <c r="D65" i="39"/>
  <c r="D73" i="39"/>
  <c r="D100" i="6"/>
  <c r="D108" i="6"/>
  <c r="D68" i="39"/>
  <c r="C44" i="36"/>
  <c r="D14" i="7"/>
  <c r="A21" i="6"/>
  <c r="A22" i="6" s="1"/>
  <c r="A23" i="6" s="1"/>
  <c r="A24" i="6" s="1"/>
  <c r="A25" i="6" s="1"/>
  <c r="A26" i="6" s="1"/>
  <c r="A27" i="6" s="1"/>
  <c r="A28" i="6" s="1"/>
  <c r="A29" i="6" s="1"/>
  <c r="A31" i="6"/>
  <c r="A32" i="6" s="1"/>
  <c r="A33" i="6" s="1"/>
  <c r="A34" i="6" s="1"/>
  <c r="A35" i="6" s="1"/>
  <c r="A36" i="6" s="1"/>
  <c r="A37" i="6" s="1"/>
  <c r="A38" i="6" s="1"/>
  <c r="A39" i="6" s="1"/>
  <c r="A41" i="6"/>
  <c r="A42" i="6"/>
  <c r="A43" i="6" s="1"/>
  <c r="A44" i="6" s="1"/>
  <c r="A45" i="6" s="1"/>
  <c r="A46" i="6" s="1"/>
  <c r="A47" i="6" s="1"/>
  <c r="A48" i="6" s="1"/>
  <c r="A49" i="6" s="1"/>
  <c r="A51" i="6"/>
  <c r="A52" i="6"/>
  <c r="A53" i="6"/>
  <c r="A54" i="6"/>
  <c r="A55" i="6"/>
  <c r="A56" i="6"/>
  <c r="A57" i="6"/>
  <c r="A58" i="6"/>
  <c r="A59" i="6" s="1"/>
  <c r="A61" i="6"/>
  <c r="A62" i="6" s="1"/>
  <c r="A63" i="6" s="1"/>
  <c r="A64" i="6" s="1"/>
  <c r="A65" i="6" s="1"/>
  <c r="A66" i="6" s="1"/>
  <c r="A67" i="6" s="1"/>
  <c r="A68" i="6" s="1"/>
  <c r="A69" i="6" s="1"/>
  <c r="A71" i="6"/>
  <c r="A72" i="6" s="1"/>
  <c r="A73" i="6" s="1"/>
  <c r="A74" i="6" s="1"/>
  <c r="A75" i="6" s="1"/>
  <c r="A76" i="6" s="1"/>
  <c r="A77" i="6" s="1"/>
  <c r="A78" i="6" s="1"/>
  <c r="A79" i="6" s="1"/>
  <c r="A81" i="6"/>
  <c r="A82" i="6"/>
  <c r="A83" i="6" s="1"/>
  <c r="A84" i="6" s="1"/>
  <c r="A85" i="6" s="1"/>
  <c r="A86" i="6" s="1"/>
  <c r="A87" i="6" s="1"/>
  <c r="A88" i="6" s="1"/>
  <c r="A89" i="6" s="1"/>
  <c r="A91" i="6"/>
  <c r="A92" i="6" s="1"/>
  <c r="A93" i="6" s="1"/>
  <c r="A94" i="6" s="1"/>
  <c r="A95" i="6" s="1"/>
  <c r="A96" i="6" s="1"/>
  <c r="A97" i="6" s="1"/>
  <c r="A98" i="6" s="1"/>
  <c r="A99" i="6" s="1"/>
  <c r="A101" i="6"/>
  <c r="A102" i="6" s="1"/>
  <c r="A103" i="6" s="1"/>
  <c r="A104" i="6" s="1"/>
  <c r="A105" i="6" s="1"/>
  <c r="A106" i="6" s="1"/>
  <c r="A107" i="6" s="1"/>
  <c r="A108" i="6" s="1"/>
  <c r="A109" i="6" s="1"/>
  <c r="A111" i="6"/>
  <c r="A112" i="6"/>
  <c r="A113" i="6" s="1"/>
  <c r="A114" i="6" s="1"/>
  <c r="A115" i="6" s="1"/>
  <c r="A116" i="6" s="1"/>
  <c r="A117" i="6" s="1"/>
  <c r="A118" i="6" s="1"/>
  <c r="A119" i="6" s="1"/>
  <c r="A121" i="6"/>
  <c r="A122" i="6"/>
  <c r="A123" i="6" s="1"/>
  <c r="A124" i="6" s="1"/>
  <c r="A125" i="6" s="1"/>
  <c r="A126" i="6" s="1"/>
  <c r="A127" i="6" s="1"/>
  <c r="A128" i="6" s="1"/>
  <c r="A129" i="6" s="1"/>
  <c r="A131" i="6"/>
  <c r="A132" i="6"/>
  <c r="A133" i="6" s="1"/>
  <c r="A134" i="6" s="1"/>
  <c r="A135" i="6" s="1"/>
  <c r="A136" i="6" s="1"/>
  <c r="A137" i="6" s="1"/>
  <c r="A138" i="6" s="1"/>
  <c r="A139" i="6" s="1"/>
  <c r="A141" i="6"/>
  <c r="A142" i="6" s="1"/>
  <c r="A143" i="6" s="1"/>
  <c r="A144" i="6" s="1"/>
  <c r="A145" i="6" s="1"/>
  <c r="A146" i="6" s="1"/>
  <c r="A147" i="6" s="1"/>
  <c r="A148" i="6" s="1"/>
  <c r="A149" i="6" s="1"/>
  <c r="A151" i="6"/>
  <c r="A152" i="6"/>
  <c r="A153" i="6"/>
  <c r="A154" i="6" s="1"/>
  <c r="A155" i="6" s="1"/>
  <c r="A156" i="6" s="1"/>
  <c r="A157" i="6" s="1"/>
  <c r="A158" i="6" s="1"/>
  <c r="A159" i="6" s="1"/>
  <c r="A161" i="6"/>
  <c r="A162" i="6" s="1"/>
  <c r="A163" i="6" s="1"/>
  <c r="A164" i="6" s="1"/>
  <c r="A165" i="6" s="1"/>
  <c r="A166" i="6" s="1"/>
  <c r="A167" i="6" s="1"/>
  <c r="A168" i="6" s="1"/>
  <c r="A169" i="6" s="1"/>
  <c r="B15" i="39"/>
  <c r="A84" i="26"/>
  <c r="A85" i="26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C125" i="6"/>
  <c r="C111" i="26"/>
  <c r="C142" i="26"/>
  <c r="C156" i="6"/>
  <c r="E50" i="28" l="1"/>
  <c r="D50" i="28"/>
  <c r="D32" i="39"/>
  <c r="C127" i="6" l="1"/>
  <c r="C124" i="6"/>
  <c r="C123" i="6"/>
  <c r="C117" i="6"/>
  <c r="C116" i="6"/>
  <c r="C113" i="26"/>
  <c r="C110" i="26"/>
  <c r="C109" i="26"/>
  <c r="C103" i="26"/>
  <c r="C102" i="26"/>
  <c r="D157" i="6"/>
  <c r="F156" i="6" l="1"/>
  <c r="D97" i="39"/>
  <c r="D46" i="6"/>
  <c r="D21" i="6"/>
  <c r="D65" i="6"/>
  <c r="D47" i="6"/>
  <c r="D16" i="39"/>
  <c r="D17" i="39" s="1"/>
  <c r="D64" i="6"/>
  <c r="C61" i="26"/>
  <c r="C66" i="6"/>
  <c r="C60" i="26"/>
  <c r="C65" i="6"/>
  <c r="C59" i="26"/>
  <c r="C64" i="6"/>
  <c r="C110" i="6"/>
  <c r="C96" i="26"/>
  <c r="C114" i="26" l="1"/>
  <c r="D12" i="29"/>
  <c r="E95" i="6"/>
  <c r="E12" i="6"/>
  <c r="C28" i="36"/>
  <c r="D78" i="6"/>
  <c r="E96" i="6"/>
  <c r="E78" i="6" s="1"/>
  <c r="E98" i="6" s="1"/>
  <c r="E100" i="6" l="1"/>
  <c r="C100" i="6"/>
  <c r="E49" i="6"/>
  <c r="E157" i="6"/>
  <c r="E143" i="6"/>
  <c r="D50" i="39" l="1"/>
  <c r="D139" i="6" l="1"/>
  <c r="D89" i="39"/>
  <c r="C78" i="36"/>
  <c r="D152" i="6" l="1"/>
  <c r="D56" i="6" l="1"/>
  <c r="D23" i="39"/>
  <c r="C81" i="36"/>
  <c r="D57" i="6"/>
  <c r="D26" i="39"/>
  <c r="C82" i="36"/>
  <c r="C29" i="36" l="1"/>
  <c r="C27" i="36"/>
  <c r="D36" i="29"/>
  <c r="E45" i="28"/>
  <c r="D45" i="28"/>
  <c r="F38" i="28"/>
  <c r="D38" i="28"/>
  <c r="F36" i="28"/>
  <c r="E36" i="28"/>
  <c r="F24" i="28"/>
  <c r="F23" i="28"/>
  <c r="D27" i="56"/>
  <c r="C53" i="56"/>
  <c r="D29" i="56"/>
  <c r="C29" i="56"/>
  <c r="D53" i="56"/>
  <c r="C27" i="56"/>
  <c r="C20" i="56"/>
  <c r="C54" i="56" l="1"/>
  <c r="F96" i="6" l="1"/>
  <c r="D18" i="55"/>
  <c r="D14" i="55"/>
  <c r="F95" i="6" l="1"/>
  <c r="F97" i="6"/>
  <c r="E169" i="6" l="1"/>
  <c r="C157" i="6"/>
  <c r="C169" i="6" s="1"/>
  <c r="F122" i="6"/>
  <c r="E110" i="6"/>
  <c r="D110" i="6"/>
  <c r="F80" i="6"/>
  <c r="C143" i="26"/>
  <c r="C90" i="26"/>
  <c r="C67" i="26"/>
  <c r="C64" i="26" s="1"/>
  <c r="C55" i="26"/>
  <c r="C100" i="36"/>
  <c r="A75" i="36"/>
  <c r="A76" i="36" s="1"/>
  <c r="A77" i="36" s="1"/>
  <c r="A78" i="36" s="1"/>
  <c r="A79" i="36" s="1"/>
  <c r="C33" i="36" l="1"/>
  <c r="C11" i="36" l="1"/>
  <c r="B15" i="54" l="1"/>
  <c r="B16" i="54"/>
  <c r="B17" i="54" s="1"/>
  <c r="B18" i="54" s="1"/>
  <c r="B19" i="54" s="1"/>
  <c r="B20" i="54" s="1"/>
  <c r="B21" i="54" s="1"/>
  <c r="B22" i="54" s="1"/>
  <c r="B23" i="54" s="1"/>
  <c r="B24" i="54" s="1"/>
  <c r="B25" i="54" s="1"/>
  <c r="F26" i="54"/>
  <c r="E45" i="35" l="1"/>
  <c r="C53" i="36"/>
  <c r="E43" i="35"/>
  <c r="E36" i="35" l="1"/>
  <c r="C64" i="36"/>
  <c r="D132" i="6"/>
  <c r="D130" i="6"/>
  <c r="D169" i="6" s="1"/>
  <c r="D94" i="39"/>
  <c r="D60" i="6" l="1"/>
  <c r="D37" i="39"/>
  <c r="C84" i="36"/>
  <c r="D32" i="49" l="1"/>
  <c r="C92" i="36" l="1"/>
  <c r="F168" i="6" l="1"/>
  <c r="C69" i="6" l="1"/>
  <c r="C53" i="6" l="1"/>
  <c r="C56" i="26"/>
  <c r="C67" i="6" l="1"/>
  <c r="D61" i="6" l="1"/>
  <c r="D67" i="6" s="1"/>
  <c r="D47" i="39"/>
  <c r="D48" i="39" s="1"/>
  <c r="C88" i="36"/>
  <c r="D39" i="49"/>
  <c r="D44" i="49" l="1"/>
  <c r="F162" i="6"/>
  <c r="F62" i="6" l="1"/>
  <c r="F46" i="6" l="1"/>
  <c r="E124" i="6" l="1"/>
  <c r="A32" i="26" l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5" i="26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8" i="26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F60" i="6" l="1"/>
  <c r="D38" i="39"/>
  <c r="F131" i="6" l="1"/>
  <c r="F58" i="6" l="1"/>
  <c r="D35" i="39"/>
  <c r="D27" i="39" l="1"/>
  <c r="F144" i="6" l="1"/>
  <c r="D52" i="39" l="1"/>
  <c r="C10" i="36" l="1"/>
  <c r="F93" i="6" l="1"/>
  <c r="F92" i="6"/>
  <c r="D58" i="39"/>
  <c r="F87" i="6"/>
  <c r="C52" i="26"/>
  <c r="F38" i="6" l="1"/>
  <c r="F37" i="6"/>
  <c r="F34" i="6"/>
  <c r="F130" i="6"/>
  <c r="E14" i="35" l="1"/>
  <c r="E25" i="35" l="1"/>
  <c r="A14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C33" i="28" l="1"/>
  <c r="C12" i="28"/>
  <c r="D50" i="29"/>
  <c r="F164" i="6"/>
  <c r="F163" i="6"/>
  <c r="E11" i="6"/>
  <c r="E47" i="6" s="1"/>
  <c r="F32" i="6"/>
  <c r="C21" i="6"/>
  <c r="C47" i="6" l="1"/>
  <c r="C76" i="6"/>
  <c r="D77" i="39" l="1"/>
  <c r="D78" i="39" s="1"/>
  <c r="A15" i="36" l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l="1"/>
  <c r="A48" i="36" s="1"/>
  <c r="C20" i="28"/>
  <c r="F57" i="6" l="1"/>
  <c r="F169" i="6" l="1"/>
  <c r="D98" i="6" l="1"/>
  <c r="F79" i="6"/>
  <c r="C42" i="36"/>
  <c r="F161" i="6" l="1"/>
  <c r="F123" i="6" l="1"/>
  <c r="D24" i="39" l="1"/>
  <c r="D21" i="39" l="1"/>
  <c r="F165" i="6" l="1"/>
  <c r="F167" i="6"/>
  <c r="F160" i="6"/>
  <c r="F159" i="6"/>
  <c r="F158" i="6"/>
  <c r="D52" i="7"/>
  <c r="F155" i="6"/>
  <c r="D51" i="7" s="1"/>
  <c r="F154" i="6"/>
  <c r="D50" i="7" s="1"/>
  <c r="F153" i="6"/>
  <c r="D49" i="7" s="1"/>
  <c r="F152" i="6"/>
  <c r="D48" i="7" s="1"/>
  <c r="F151" i="6"/>
  <c r="D47" i="7" s="1"/>
  <c r="F150" i="6"/>
  <c r="D46" i="7" s="1"/>
  <c r="F149" i="6"/>
  <c r="D45" i="7" s="1"/>
  <c r="F148" i="6"/>
  <c r="D44" i="7" s="1"/>
  <c r="F147" i="6"/>
  <c r="D43" i="7" s="1"/>
  <c r="F146" i="6"/>
  <c r="D42" i="7" s="1"/>
  <c r="F145" i="6"/>
  <c r="D41" i="7" s="1"/>
  <c r="D40" i="7"/>
  <c r="F143" i="6"/>
  <c r="D39" i="7" s="1"/>
  <c r="F142" i="6"/>
  <c r="D38" i="7" s="1"/>
  <c r="F141" i="6"/>
  <c r="D37" i="7" s="1"/>
  <c r="F140" i="6"/>
  <c r="D36" i="7" s="1"/>
  <c r="F139" i="6"/>
  <c r="D35" i="7" s="1"/>
  <c r="F138" i="6"/>
  <c r="D34" i="7" s="1"/>
  <c r="F136" i="6"/>
  <c r="D32" i="7" s="1"/>
  <c r="F135" i="6"/>
  <c r="D31" i="7" s="1"/>
  <c r="F134" i="6"/>
  <c r="D30" i="7" s="1"/>
  <c r="F133" i="6"/>
  <c r="D29" i="7" s="1"/>
  <c r="F132" i="6"/>
  <c r="D28" i="7" s="1"/>
  <c r="D27" i="7"/>
  <c r="D26" i="7"/>
  <c r="D25" i="7"/>
  <c r="F127" i="6"/>
  <c r="D23" i="7" s="1"/>
  <c r="F126" i="6"/>
  <c r="D22" i="7" s="1"/>
  <c r="F125" i="6"/>
  <c r="D21" i="7" s="1"/>
  <c r="F121" i="6"/>
  <c r="F120" i="6"/>
  <c r="F119" i="6"/>
  <c r="F118" i="6"/>
  <c r="F117" i="6"/>
  <c r="F116" i="6"/>
  <c r="F115" i="6"/>
  <c r="F114" i="6"/>
  <c r="F113" i="6"/>
  <c r="F112" i="6"/>
  <c r="F111" i="6"/>
  <c r="D128" i="6"/>
  <c r="F104" i="6"/>
  <c r="F103" i="6"/>
  <c r="C108" i="6"/>
  <c r="F107" i="6"/>
  <c r="F106" i="6"/>
  <c r="F105" i="6"/>
  <c r="F102" i="6"/>
  <c r="E108" i="6"/>
  <c r="F81" i="6"/>
  <c r="F94" i="6"/>
  <c r="F91" i="6"/>
  <c r="F90" i="6"/>
  <c r="F89" i="6"/>
  <c r="F88" i="6"/>
  <c r="F86" i="6"/>
  <c r="F85" i="6"/>
  <c r="C84" i="6"/>
  <c r="C78" i="6" s="1"/>
  <c r="F83" i="6"/>
  <c r="F75" i="6"/>
  <c r="F74" i="6"/>
  <c r="F73" i="6"/>
  <c r="F71" i="6"/>
  <c r="F70" i="6"/>
  <c r="E69" i="6"/>
  <c r="E76" i="6" s="1"/>
  <c r="D69" i="6"/>
  <c r="D76" i="6" s="1"/>
  <c r="F66" i="6"/>
  <c r="D19" i="7" s="1"/>
  <c r="F64" i="6"/>
  <c r="D17" i="7" s="1"/>
  <c r="F63" i="6"/>
  <c r="D20" i="7" s="1"/>
  <c r="F61" i="6"/>
  <c r="F59" i="6"/>
  <c r="F56" i="6"/>
  <c r="F55" i="6"/>
  <c r="F54" i="6"/>
  <c r="F53" i="6"/>
  <c r="F52" i="6"/>
  <c r="F51" i="6"/>
  <c r="D16" i="7"/>
  <c r="F44" i="6"/>
  <c r="F43" i="6"/>
  <c r="F36" i="6"/>
  <c r="F39" i="6"/>
  <c r="F42" i="6"/>
  <c r="F41" i="6"/>
  <c r="F40" i="6"/>
  <c r="F35" i="6"/>
  <c r="F33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A11" i="6"/>
  <c r="A12" i="6" s="1"/>
  <c r="A13" i="6" s="1"/>
  <c r="D90" i="39"/>
  <c r="D87" i="39"/>
  <c r="D83" i="39"/>
  <c r="D98" i="39" s="1"/>
  <c r="D59" i="39"/>
  <c r="D45" i="39"/>
  <c r="D41" i="39"/>
  <c r="D53" i="39" s="1"/>
  <c r="B13" i="39"/>
  <c r="E50" i="29"/>
  <c r="G50" i="28"/>
  <c r="F50" i="28"/>
  <c r="C49" i="28"/>
  <c r="C48" i="28"/>
  <c r="C47" i="28"/>
  <c r="C46" i="28"/>
  <c r="C45" i="28"/>
  <c r="C44" i="28"/>
  <c r="C43" i="28"/>
  <c r="C42" i="28"/>
  <c r="C41" i="28"/>
  <c r="C40" i="28"/>
  <c r="C39" i="28"/>
  <c r="C38" i="28"/>
  <c r="C37" i="28"/>
  <c r="C36" i="28"/>
  <c r="C35" i="28"/>
  <c r="C34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19" i="28"/>
  <c r="C18" i="28"/>
  <c r="C17" i="28"/>
  <c r="C16" i="28"/>
  <c r="C14" i="28"/>
  <c r="C13" i="28"/>
  <c r="E51" i="35"/>
  <c r="C94" i="26"/>
  <c r="C76" i="26"/>
  <c r="C71" i="26" s="1"/>
  <c r="C88" i="26" s="1"/>
  <c r="C24" i="26"/>
  <c r="C14" i="26" s="1"/>
  <c r="D99" i="39" l="1"/>
  <c r="A14" i="6"/>
  <c r="A15" i="6" s="1"/>
  <c r="A16" i="6" s="1"/>
  <c r="A17" i="6" s="1"/>
  <c r="A18" i="6" s="1"/>
  <c r="A19" i="6" s="1"/>
  <c r="C98" i="6"/>
  <c r="C69" i="26"/>
  <c r="F82" i="6"/>
  <c r="F124" i="6"/>
  <c r="D24" i="7" s="1"/>
  <c r="C50" i="26"/>
  <c r="E52" i="35"/>
  <c r="F84" i="6"/>
  <c r="C15" i="28"/>
  <c r="C50" i="28" s="1"/>
  <c r="E128" i="6"/>
  <c r="F101" i="6"/>
  <c r="F100" i="6" s="1"/>
  <c r="C128" i="6"/>
  <c r="E67" i="6"/>
  <c r="F45" i="6"/>
  <c r="D15" i="7" s="1"/>
  <c r="F65" i="6"/>
  <c r="D18" i="7" s="1"/>
  <c r="F137" i="6"/>
  <c r="D33" i="7" s="1"/>
  <c r="C150" i="26"/>
  <c r="F166" i="6"/>
  <c r="C62" i="26"/>
  <c r="F98" i="6" l="1"/>
  <c r="C151" i="26"/>
  <c r="E170" i="6"/>
  <c r="F47" i="6"/>
  <c r="F108" i="6"/>
  <c r="F128" i="6"/>
  <c r="F72" i="6"/>
  <c r="F69" i="6" s="1"/>
  <c r="F13" i="6"/>
  <c r="F76" i="6" l="1"/>
  <c r="C170" i="6"/>
  <c r="F50" i="6" l="1"/>
  <c r="D170" i="6"/>
  <c r="D53" i="7" l="1"/>
</calcChain>
</file>

<file path=xl/sharedStrings.xml><?xml version="1.0" encoding="utf-8"?>
<sst xmlns="http://schemas.openxmlformats.org/spreadsheetml/2006/main" count="956" uniqueCount="471">
  <si>
    <t>Trakų rajono savivaldybės</t>
  </si>
  <si>
    <t>tūkst. Eur</t>
  </si>
  <si>
    <t>Eil. Nr.</t>
  </si>
  <si>
    <t xml:space="preserve">PAJAMOS </t>
  </si>
  <si>
    <t>IŠ VISO</t>
  </si>
  <si>
    <t>MOKESČIAI (2+4+8)</t>
  </si>
  <si>
    <t>Turto mokesčiai (5+6+7)</t>
  </si>
  <si>
    <t>Žemės mokestis</t>
  </si>
  <si>
    <t>Nekilnojamo turto mokestis</t>
  </si>
  <si>
    <t>Paveldimo turto mokestis</t>
  </si>
  <si>
    <t>Mokestis už aplinkos teršimą</t>
  </si>
  <si>
    <t>Vietinė rinkliava už komunalinių atliekų tvarkymą</t>
  </si>
  <si>
    <t>Kitos vietinės rinkliavos</t>
  </si>
  <si>
    <t>Nuomos mokestis už valstybinę žemę ir valstybinius vidaus vandenų telkinius</t>
  </si>
  <si>
    <t>Mokesčiai už valstybinius gamtos išteklius</t>
  </si>
  <si>
    <t>Pajamos už ilgalaikio ir trumpalaikio materialiojo turto nuomą</t>
  </si>
  <si>
    <t>Įmokos už išlaikymą švietimo, socialinės apsaugos ir kitose įstaigose</t>
  </si>
  <si>
    <t>Pajamos iš baudų, konfiskuoto turto ir kitų netesybų</t>
  </si>
  <si>
    <t xml:space="preserve">Kitos neišvardytos pajamos (aplinkos apsaugos rėmimo specialioji programa) </t>
  </si>
  <si>
    <t>Kitos neišvardytos pajamos</t>
  </si>
  <si>
    <t>Pastatų ir statinių realizavimo pajamos</t>
  </si>
  <si>
    <t>Valstybinėms (valstybės perduotoms savivaldybėms) funkcijoms atlikti:</t>
  </si>
  <si>
    <t xml:space="preserve">     valstybinės kalbos vartojimo ir taisyklingumo kontrolei</t>
  </si>
  <si>
    <t xml:space="preserve">     socialinei paramai mokiniams </t>
  </si>
  <si>
    <t xml:space="preserve">     būsto nuomos mokesčio dalies kompensacijai</t>
  </si>
  <si>
    <t xml:space="preserve">     jaunimo teisių apsaugai</t>
  </si>
  <si>
    <t xml:space="preserve">     savivaldybių patvirtintoms užimtumo didinimo programoms įgyvendinti</t>
  </si>
  <si>
    <t xml:space="preserve">      civilinės būklės aktams registruoti</t>
  </si>
  <si>
    <t xml:space="preserve">     valstybės garantuojamai pirminei teisinei pagalbai teikti</t>
  </si>
  <si>
    <t xml:space="preserve">     gyventojų registrui tvarkyti ir duomenims valstybės registrams teikti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</si>
  <si>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</si>
  <si>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</si>
  <si>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</si>
  <si>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archyviniams dokumentams tvarkyti</t>
  </si>
  <si>
    <t xml:space="preserve">     neveiksnių asmenų būklės peržiūrėjimui užtikrinti</t>
  </si>
  <si>
    <t xml:space="preserve">Ugdymo reikmėms finansuoti </t>
  </si>
  <si>
    <t>Savivaldybių mokykloms (klasėms arba grupėms), turinčioms specialiųjų ugdymosi poreikių mokinių</t>
  </si>
  <si>
    <t xml:space="preserve">      biudžeto lėšų</t>
  </si>
  <si>
    <t xml:space="preserve">      skolintų lėšų likutis</t>
  </si>
  <si>
    <t xml:space="preserve">      aplinkos apsaugos rėmimo specialiosios programos</t>
  </si>
  <si>
    <t xml:space="preserve">      visuomenės sveikatos specialiosios programos</t>
  </si>
  <si>
    <t xml:space="preserve">Iš viso </t>
  </si>
  <si>
    <t>Savivaldybės valdymo programa (1)</t>
  </si>
  <si>
    <t>Savivaldybės administracija</t>
  </si>
  <si>
    <t>Lentvario seniūnija</t>
  </si>
  <si>
    <t>Trakų seniūnija</t>
  </si>
  <si>
    <t>Aukštadvario seniūnija</t>
  </si>
  <si>
    <t>Grendavės seniūnija</t>
  </si>
  <si>
    <t>Onuškio seniūnija</t>
  </si>
  <si>
    <t xml:space="preserve">Paluknio seniūnija </t>
  </si>
  <si>
    <t>Rūdiškių seniūnija</t>
  </si>
  <si>
    <t>Senųjų Trakų seniūnija</t>
  </si>
  <si>
    <t>Priešgaisrinė gelbėjimo įstaiga</t>
  </si>
  <si>
    <t>Iš viso programai</t>
  </si>
  <si>
    <t>Socialinės paramos ir sveikatos apsaugos paslaugų kokybės gerinimo programa (2)</t>
  </si>
  <si>
    <t>Trakų rajono paramos šeimai ir vaikams centras</t>
  </si>
  <si>
    <t>Visuomenės sveikatos biuras</t>
  </si>
  <si>
    <t>Programos /Asignavimų valdytojo pavadinimas</t>
  </si>
  <si>
    <t>Iš viso</t>
  </si>
  <si>
    <t>Investicijų programa (5)</t>
  </si>
  <si>
    <t>Savivaldybės administracija:</t>
  </si>
  <si>
    <t>Viešosios infrastruktūros priežiūros ir plėtros programa (4)</t>
  </si>
  <si>
    <t>Aukštadvario gimnazija</t>
  </si>
  <si>
    <t>Trakų suaugusiųjų mokymo centras</t>
  </si>
  <si>
    <t>Trakų Vytauto Didžiojo gimnazija</t>
  </si>
  <si>
    <t>Lentvario Motiejaus Šimelionio gimnazija</t>
  </si>
  <si>
    <t>Rūdiškių muzikos mokykla</t>
  </si>
  <si>
    <t>Trakų meno mokykla</t>
  </si>
  <si>
    <t>Trakų globos ir socialinių paslaugų centras</t>
  </si>
  <si>
    <t>Rūdiškių kultūros centras</t>
  </si>
  <si>
    <t xml:space="preserve">Aukštadvario mokykla-darželis ,,Gandriukas" </t>
  </si>
  <si>
    <t>Bražuolės lopšelis-darželis</t>
  </si>
  <si>
    <t>Lentvario lopšelis-darželis ,,Šilas"</t>
  </si>
  <si>
    <t>Lentvario lopšelis-darželis ,,Svajonėlė"</t>
  </si>
  <si>
    <t>Paluknio vaikų lopšelis-darželis</t>
  </si>
  <si>
    <t>Rūdiškių vaikų lopšelis-darželis ,,Pasaka"</t>
  </si>
  <si>
    <t>Senųjų Trakų vaikų lopšelis-darželis</t>
  </si>
  <si>
    <t>Trakų lopšelis-darželis ,,Obelėlė"</t>
  </si>
  <si>
    <t>Lentvario Versmės gimnazija</t>
  </si>
  <si>
    <t>Lentvario Henriko Senkevičiaus gimnazija</t>
  </si>
  <si>
    <t>Lentvario pradinė mokykla</t>
  </si>
  <si>
    <t>Paluknio ,,Medeinos" gimnazija</t>
  </si>
  <si>
    <t>Paluknio Longino Komolovskio gimnazija</t>
  </si>
  <si>
    <t>Rūdiškių gimnazija</t>
  </si>
  <si>
    <t>Trakų gimnazija</t>
  </si>
  <si>
    <t>Trakų pradinė mokykla</t>
  </si>
  <si>
    <t>Rykantų universalus daugiafunkcis centras</t>
  </si>
  <si>
    <t>Trakų rajono savivaldybės pedagoginė psichologinė tarnyba</t>
  </si>
  <si>
    <t>Savarankiškosioms funkcijoms</t>
  </si>
  <si>
    <t>Specialios tikslinės dotacijos ir skolintos lėšos</t>
  </si>
  <si>
    <t>Iš įstaigų gautų pajamų</t>
  </si>
  <si>
    <t xml:space="preserve">Savivaldybės administracijos valdymo išlaidos </t>
  </si>
  <si>
    <t>Savivaldos darbo organizavimas</t>
  </si>
  <si>
    <t>Mero reprezentacinės išlaidos</t>
  </si>
  <si>
    <t xml:space="preserve">Daugiabučių namų bendrijų rėmimas </t>
  </si>
  <si>
    <t xml:space="preserve">UAB Trakų paslaugos (rinkliava už naudojimąsi viešąja infrastruktūra) </t>
  </si>
  <si>
    <t>Informacijos sklaidos programa</t>
  </si>
  <si>
    <t>UAB ,,VAATC" įstatinio kapitalo didinimas</t>
  </si>
  <si>
    <t>Savivaldybės kontrolės ir audito tarnyba</t>
  </si>
  <si>
    <t>Ekonominės analizės, finansų ir biudžeto skyrius</t>
  </si>
  <si>
    <t xml:space="preserve">Socialinės pašalpos </t>
  </si>
  <si>
    <t>Būsto šildymo, karšto ir geriamojo vandens išlaidų kompensacijų teikimas</t>
  </si>
  <si>
    <t>Socialinės programos ir parama</t>
  </si>
  <si>
    <t>Socialiai išskirtinų gyventojų grupių važiavimo išlaidų kompensavimas</t>
  </si>
  <si>
    <t>Savivaldybės gyventojų dantų protezavimo paslaugų išlaidų kompensavimas</t>
  </si>
  <si>
    <t>Visuomenės sveikatos rėmimo specialioji programa</t>
  </si>
  <si>
    <t>Čižiūnų socialinių paslaugų centras</t>
  </si>
  <si>
    <t xml:space="preserve">Aplinkos apsaugos rėmimo specialioji programa </t>
  </si>
  <si>
    <t xml:space="preserve">Žemdirbių rėmimo programa </t>
  </si>
  <si>
    <t>Miestų tvarkymo ir valymo darbai:</t>
  </si>
  <si>
    <t>Techninių projektų, bendrųjų ekspertizių, kiti projektavimo darbai ir GIS</t>
  </si>
  <si>
    <t>Žemės sklypų planams ir kitiems dokumentams rengti, vadovaujantis LRV nutarimais Nr. 1023 ir Nr.260)</t>
  </si>
  <si>
    <t>Kultūros paveldo objektų tvarkyba ir apskaita</t>
  </si>
  <si>
    <t>Trakų kurortinės teritorijos programa</t>
  </si>
  <si>
    <t>Kultūros programos ir renginiai</t>
  </si>
  <si>
    <t>Meno kolektyvų veikla</t>
  </si>
  <si>
    <t>Religinių bendrijų rėmimas</t>
  </si>
  <si>
    <t>Tarptautinio bendradarbiavimo programa</t>
  </si>
  <si>
    <t>Jaunimo turizmo ir laisvalaikio centras</t>
  </si>
  <si>
    <t>Viešoji  biblioteka</t>
  </si>
  <si>
    <t>Trakų  lopšelis-darželis ,,Ežerėlis"</t>
  </si>
  <si>
    <t>Lėšos ugdymo finansavimo poreikių skirtumams sumažinti (2,4%)</t>
  </si>
  <si>
    <t>Lėšos mokymosi pasiekimų patikrinimams organizuoti ir vykdyti</t>
  </si>
  <si>
    <t>Neformaliojo vaikų švietimo paslaugų plėtra</t>
  </si>
  <si>
    <t>Vaikų socializacijos programų, prevencinių programų ir kitų švietimo srities renginių rėmimas</t>
  </si>
  <si>
    <t>Transporto lengvatos mokiniams</t>
  </si>
  <si>
    <t>11 priedas</t>
  </si>
  <si>
    <t>Asignavimų valdytojo pavadinimas</t>
  </si>
  <si>
    <t>Komunalinių atliekų tvarkymas ir administravimas</t>
  </si>
  <si>
    <t>Valstybės rinkliava</t>
  </si>
  <si>
    <t>Lėšos verslo plėtros sąlygoms gerinti</t>
  </si>
  <si>
    <t xml:space="preserve">Kelių priežiūros ir plėtros programos  finansavimo lėšos savivaldybėms vietinės reikšmės keliams (gatvėms) tiesti, taisyti (rekonstruoti), prižiūrėti ir saugaus eismo sąlygoms užtikrinti </t>
  </si>
  <si>
    <t>Žemės realizavimo pajamos</t>
  </si>
  <si>
    <t>Biudžetinių įstaigų pajamos už prekes ir paslaugas</t>
  </si>
  <si>
    <t>Seniūnijų savarankiškų veiklų programa</t>
  </si>
  <si>
    <t>Jaunimo politikos įgyvendinimo programa</t>
  </si>
  <si>
    <t xml:space="preserve">Dotacija savivaldybės viešajai bibliotekai dokumentams įsigyti </t>
  </si>
  <si>
    <t xml:space="preserve">     gyvenamosios vietos deklaravimo duomenų ir gyvenamosios vietos nedeklaravusių asmenų apskaitos duomenims tvarkyti</t>
  </si>
  <si>
    <t>Lėšos, skirtos neformaliajam vaikų švietimui</t>
  </si>
  <si>
    <t>Seniūnaičių veiklos išlaidų apmokėjimas</t>
  </si>
  <si>
    <t>Lėšos profesiniam mokymui</t>
  </si>
  <si>
    <t>Lėšos akredituotai vaikų dienos socialinei priežiūrai organizuoti</t>
  </si>
  <si>
    <t>Aplinkos apsaugos programa</t>
  </si>
  <si>
    <t>VVG ir bendruomenių rėmimas</t>
  </si>
  <si>
    <t>KPPP lėšos savivaldybių institucijų valdomiems vietinės reikšmės keliams</t>
  </si>
  <si>
    <t>Įstaigos pavadinimas</t>
  </si>
  <si>
    <t>5 priedas</t>
  </si>
  <si>
    <t xml:space="preserve">į savivaldybės biudžetą </t>
  </si>
  <si>
    <t xml:space="preserve">iš jų: </t>
  </si>
  <si>
    <t xml:space="preserve"> Iš viso </t>
  </si>
  <si>
    <t>už ilgalaikio ir trumpalaikio materialiojo turto nuomą</t>
  </si>
  <si>
    <t xml:space="preserve"> įmokos už išlaikymą švietimo, socialinės apsaugos ir kitose įstaigose</t>
  </si>
  <si>
    <t xml:space="preserve"> pajamos už prekes ir paslaugas</t>
  </si>
  <si>
    <t xml:space="preserve">Čižiūnų socialinių paslaugų centras </t>
  </si>
  <si>
    <t>Viešoji biblioteka</t>
  </si>
  <si>
    <t>Trakų lopšelis-darželis ,,Ežerėlis"</t>
  </si>
  <si>
    <t>6 priedas</t>
  </si>
  <si>
    <t>iš įstaigų gautų pajamų</t>
  </si>
  <si>
    <t>3 priedas</t>
  </si>
  <si>
    <t>Funkcijos pavadinimas</t>
  </si>
  <si>
    <t>Asignavimų valdytojas</t>
  </si>
  <si>
    <t>Gyventojų registro tvarkymas ir duomenų valstybės registrui teikimas</t>
  </si>
  <si>
    <t>Gyvenamosios vietos deklaravimas:</t>
  </si>
  <si>
    <t>Civilinės būklės aktų registravimas</t>
  </si>
  <si>
    <t>Civilinei saugai</t>
  </si>
  <si>
    <t>Archyvinių dokumentų tvarkymas</t>
  </si>
  <si>
    <t>Valstyb.kalbos vartojimo ir taisyklingumo kontrolė</t>
  </si>
  <si>
    <t>Žemės ūkio funkcijoms vykdyti</t>
  </si>
  <si>
    <t>Melioracijai ir dirvoms kalkinti</t>
  </si>
  <si>
    <t xml:space="preserve">Jaunimo teisių apsauga </t>
  </si>
  <si>
    <t>Savivaldybių patvirtintoms užimtumo didinimo programoms įgyvendinti:</t>
  </si>
  <si>
    <t>Priešgaisrinei saugai</t>
  </si>
  <si>
    <t xml:space="preserve">Būsto nuomos mokesčio daliai kompensuoti </t>
  </si>
  <si>
    <t xml:space="preserve">Socialinė parama mokiniams </t>
  </si>
  <si>
    <t>Neveiksnių asmenų būklės peržiūrėjimui užtikrinti</t>
  </si>
  <si>
    <t>Investiciniams projektams įgyvendinti</t>
  </si>
  <si>
    <t>2 priedas</t>
  </si>
  <si>
    <t>savarankiškosioms funkcijoms atlikti</t>
  </si>
  <si>
    <t>Socialinės pašalpos</t>
  </si>
  <si>
    <t>Statybos ir remonto darbai</t>
  </si>
  <si>
    <t>8 priedas</t>
  </si>
  <si>
    <t>Specialios tikslinės dotacijos</t>
  </si>
  <si>
    <t>Europos Sąjungos finansinės paramos lėšos</t>
  </si>
  <si>
    <t>Europos Sąjungos finansinės paramos lėšos (projektams finansuoti)</t>
  </si>
  <si>
    <t>Europos Sąjungos finansinės paramos lėšos (projektams finansuoti iš likučio)</t>
  </si>
  <si>
    <t>Kitos dotacijos</t>
  </si>
  <si>
    <t xml:space="preserve">IŠ VISO </t>
  </si>
  <si>
    <t>Įmokos už savivaldybės infrastruktūros plėtrą</t>
  </si>
  <si>
    <t>įmokos už savivaldybės infrastruktūros plėtrą</t>
  </si>
  <si>
    <t>Savivaldybės infrastruktūros plėtros rėmimo programa</t>
  </si>
  <si>
    <t xml:space="preserve"> Iš viso pajamų (1+10+28)</t>
  </si>
  <si>
    <t>GPM, mokamas už pajamas, gautas iš veiklos, kuria verčiamasi turint verslo liudijimą</t>
  </si>
  <si>
    <t>Eil. 
Nr.</t>
  </si>
  <si>
    <t xml:space="preserve"> Iš viso</t>
  </si>
  <si>
    <t>IŠ VISO ASIGNAVIMŲ</t>
  </si>
  <si>
    <t>Asignavimų suma</t>
  </si>
  <si>
    <t>tūkst. eur</t>
  </si>
  <si>
    <t xml:space="preserve">Trakų rajono savivaldybės biudžetui </t>
  </si>
  <si>
    <t>1 priedas</t>
  </si>
  <si>
    <t>Pajamų ir pelno mokesčiai (3)</t>
  </si>
  <si>
    <t>Gyventojų pajamų mokestis:</t>
  </si>
  <si>
    <t>3.1</t>
  </si>
  <si>
    <t>3.2</t>
  </si>
  <si>
    <t xml:space="preserve">    plėtoti sveiką gyvenseną bei stiprinti sveikos gyvensenos įgūdžius ugdymo įstaigose ir bendruomenėse, vykdyti visuomenės sveikatos stebėseną savivaldybėse</t>
  </si>
  <si>
    <t>Plėtoti sveiką gyvenseną bei stiprinti sveikos gyvensenos įgūdžius ugdymo įstaigose ir bendruomenėse, vykdyti visuomenės sveikatos stebėseną savivaldybėse</t>
  </si>
  <si>
    <t>Renovuotų daugiabučių namų aplinkos sutvarkymo programa</t>
  </si>
  <si>
    <t>Komunalinių paslaugų išlaidų padidėjimui įstaigoms</t>
  </si>
  <si>
    <t>7 priedas</t>
  </si>
  <si>
    <t>Pajamos</t>
  </si>
  <si>
    <t>Programos finansavimo šaltiniai</t>
  </si>
  <si>
    <t>Savanoriškos juridinių ir fizinių asmenų įmokos ir kitos teisėtai gautos lėšos</t>
  </si>
  <si>
    <t>Lėšos, gautos kaip želdinių atkuriamosios vertės kompensacija</t>
  </si>
  <si>
    <t>Iš viso:</t>
  </si>
  <si>
    <t>Išlaidos</t>
  </si>
  <si>
    <t>Priemonės pavadinimas</t>
  </si>
  <si>
    <t>Lėšos (tūkst. Eur)</t>
  </si>
  <si>
    <t>Savivaldybės visuomenės sveikatos rėmimo specialiajai programai skirtinos lėšos</t>
  </si>
  <si>
    <t>20 procentų Savivaldybių aplinkos apsaugos rėmimo specialiosios programos lėšų, neįskaitant įplaukų už medžioklės plotų naudotojų mokesčius, mokamus įstatymų nustatytomis proporcijomis ir tvarka už medžiojamųjų gyvūnų išteklių naudojimą</t>
  </si>
  <si>
    <t>Priemonės, kurioms finansuoti skiriamos lėšos, surinktos už medžiojamųjų gyvūnų išteklių naudojimą</t>
  </si>
  <si>
    <t>Žemės sklypų, kuriuose medžioklė nėra uždrausta, savininkų, valdytojų ir naudotojų, įgyvendinamos žalos prevencijos priemonės, kuriomis jie siekia išvengti medžiojamųjų gyvūnų daromos žalos</t>
  </si>
  <si>
    <t>Kitos aplinkosaugos priemonės, kurioms įgyvendinti skiriamos programos lėšos</t>
  </si>
  <si>
    <t>Varninių paukščių gausos reguliavimas</t>
  </si>
  <si>
    <t>Atliekų tvarkymo infrastruktūros plėtros priemonės</t>
  </si>
  <si>
    <t>3.3.</t>
  </si>
  <si>
    <t>Atliekų, kurių turėtojo nustatyti neįmanoma arba kuris nebeegzistuoja, tvarkymo priemonės</t>
  </si>
  <si>
    <t>Užterštų teritorijų išvalymui, atliekų išvežimui</t>
  </si>
  <si>
    <t>Bešeimininkių padangų išvežimo utilizavimui paslaugos</t>
  </si>
  <si>
    <t>Asbesto turinčių gaminių bešeimininkių atliekų surinkimui, transportavimui ir saugiam šalinimui</t>
  </si>
  <si>
    <t>Želdynų ir želdinių apsaugos, tvarkymo, būklės stebėsenos, želdynų kūrimo, želdinių veisimo ir inventorizavimo priemonės</t>
  </si>
  <si>
    <t>Želdynų kūrimui, želdinių veisimui ir želdynų tvarkymui</t>
  </si>
  <si>
    <t>Visuomenės švietimo ir mokymo aplinkosaugos klausimais priemonės</t>
  </si>
  <si>
    <t xml:space="preserve">Lėšos soc.reabilitacijos paslaugų neįgaliesiems teikimo bendruomenėje projektams </t>
  </si>
  <si>
    <t>9 priedas</t>
  </si>
  <si>
    <t>12 priedas</t>
  </si>
  <si>
    <t>Iš jų metų pradžios likutis</t>
  </si>
  <si>
    <t>Bijūnų universalus daugiafunkcis centras</t>
  </si>
  <si>
    <t>Lėšos kompleksinėms paslaugoms šeimai organizuoti</t>
  </si>
  <si>
    <t>Ugdymo kokybės, mokymosi aplinkos užtikrinimo ir sporto programa (7)</t>
  </si>
  <si>
    <t>Kultūros ir turizmo, jaunimo ir bendruomenių veiklos aktyvinimo programa (6)</t>
  </si>
  <si>
    <t xml:space="preserve">Keleivinio transporto nuostolingų maršrutų išlaidų kompensavimas </t>
  </si>
  <si>
    <t xml:space="preserve">,,Trakiečio kortelės" išlaidų kompensavimas </t>
  </si>
  <si>
    <t>Vilniaus apskrities priešgaisrinės gelbėjimo valdybos Trakų priešgaisrinei gelbėjimo tarnybai finansinė parama</t>
  </si>
  <si>
    <t>Mokesčiai už teršalų išmetimą į aplinką</t>
  </si>
  <si>
    <t>Mokesčiai, sumokėti už medžiojamųjų gyvūnų išteklių naudojimą</t>
  </si>
  <si>
    <t>Mokesčiai už valstybinius gamtos išteklius (naudingąsias iškasenas, vandenį, statybinį gruntą ir angliavandenilius)</t>
  </si>
  <si>
    <t>Aplinkos kokybės gerinimo ir aplinkos apsaugos priemonės</t>
  </si>
  <si>
    <t>3.1.1</t>
  </si>
  <si>
    <t>3.1.2</t>
  </si>
  <si>
    <t xml:space="preserve"> Aplinkos monitoringo, prevencinės, aplinkos atkūrimo priemonės</t>
  </si>
  <si>
    <t>3.2.1</t>
  </si>
  <si>
    <t>3.3.1</t>
  </si>
  <si>
    <t xml:space="preserve">Konsultacinės (teisinės) paslaugos, susijusios su atliekų tvarkymo infrastruktūros plėtros priemonių įgyvendinimu. </t>
  </si>
  <si>
    <t>3.4</t>
  </si>
  <si>
    <t>3.4.1</t>
  </si>
  <si>
    <t>3.4.2</t>
  </si>
  <si>
    <t>3.4.3</t>
  </si>
  <si>
    <t>3.5</t>
  </si>
  <si>
    <t>3.5.1</t>
  </si>
  <si>
    <t>3.5.2</t>
  </si>
  <si>
    <t>Želdynų ir želdinių būklės stebėsenos ir ekspertizių atlikimas</t>
  </si>
  <si>
    <t>3.6</t>
  </si>
  <si>
    <t>3.6.1</t>
  </si>
  <si>
    <t>Aplinkosauginių akcijų, renginių, talkų, parodų organizavimas</t>
  </si>
  <si>
    <t>3.6.2</t>
  </si>
  <si>
    <t xml:space="preserve">Visuomenės informavimo turinio ir priemonių aplinkosaugos klausimais įsigijimas, kūrimas, platinimas  </t>
  </si>
  <si>
    <t>3.6.3</t>
  </si>
  <si>
    <t>Visuomenės ir jos tikslinių grupių švietimas ir mokymas aplinkosaugos tema bei aplinkosaugos srityje dirbančių specialistų mokymas ir (ar) kvalifikacijos kėlimas</t>
  </si>
  <si>
    <t>NVO rėmimo programa</t>
  </si>
  <si>
    <t xml:space="preserve">Statybos ir remonto darbai </t>
  </si>
  <si>
    <t>Europos Sąjungos finansinės paramos lėšos (projektams finansuoti) su likučiu</t>
  </si>
  <si>
    <t>Aplinkos apsaugos ir kaimo plėtros programa (3)</t>
  </si>
  <si>
    <t>Mero rezervas (ekstremalioms situacijoms ir (ar) ekstremaliesiems įvykiams likviduoti)</t>
  </si>
  <si>
    <t>Asmenų sveikatos priežiūros darbuotojų transporto išlaidų kompensavimas</t>
  </si>
  <si>
    <t>Tradicinės Trakų miesto šventės organizavimas</t>
  </si>
  <si>
    <t>Švietimo įstaigų pedagoginių darbuotojų važiavimo į darbą išlaidų kompensavimas</t>
  </si>
  <si>
    <t>Socialinių išmokų ir kompensacijų, skirtų paramai mirties atveju užtikrinti, skaičiavimas ir mokėjimas</t>
  </si>
  <si>
    <t xml:space="preserve">    socialinėms išmokoms ir kompensacijoms, skirtoms paramai mirties atveju užtikrinti, skaičiuoti ir mokėti</t>
  </si>
  <si>
    <t xml:space="preserve">    socialinėms išmokoms ir kompensacijoms skaičiuoti ir mokėti, skirtų kompensacijų nepriklausomybės gynėjams, nukentėjusiems nuo 1991 m. sausio 11-13 d. ir po to vykdytos SSRS agresijos, bei jų šeimoms mokėjimui užtikrinti</t>
  </si>
  <si>
    <t>Socialinių išmokų ir kompensacijų skaičiavimas ir mokėjimas, skirtų kompensacijų nepriklausomybės gynėjams, nukentėjusiems nuo 1991 m. sausio 11-13 d. ir po to vykdytos SSRS agresijos, bei jų šeimoms mokėjimui užtikrinti</t>
  </si>
  <si>
    <t>Savivaldybių teritorijoje esančių miestų ir miestelių teritorijų ribose valstybinės žemės, perduotos LRV nutarimu, patikėtinio funkcijai atlikti</t>
  </si>
  <si>
    <t xml:space="preserve">   savivaldybių teritorijoje esančių miestų ir miestelių teritorijų ribose valstybinės žemės, perduotos LRV nutarimu, patikėtinio funkcijai atlikti</t>
  </si>
  <si>
    <t>Senųjų Trakų Kęstučio progimnazija</t>
  </si>
  <si>
    <t>Onuškio Donato Malinausko pagrindinė mokykla</t>
  </si>
  <si>
    <t>Trakų sporto centras</t>
  </si>
  <si>
    <t>UAB Trakų vandenys – renovuotų daugiabučių namų administravimas</t>
  </si>
  <si>
    <t>Iš viso (33+43)</t>
  </si>
  <si>
    <t xml:space="preserve">     civilinei saugai</t>
  </si>
  <si>
    <t xml:space="preserve">Valstybės biudžeto lėšos (Projektinės lėšos )
</t>
  </si>
  <si>
    <t xml:space="preserve"> </t>
  </si>
  <si>
    <t>10 priedas</t>
  </si>
  <si>
    <t xml:space="preserve">             FINANSUOJAMŲ VALSTYBĖS BIUDŽETO LĖŠOMIS, SĄRAŠAS</t>
  </si>
  <si>
    <t>Darbų pavadinimas</t>
  </si>
  <si>
    <t>Kiekis</t>
  </si>
  <si>
    <t>Pastabos</t>
  </si>
  <si>
    <t>I. MELIORACIJOS STATINIŲ PRIEŽIŪRA</t>
  </si>
  <si>
    <t>II. MELIORACIJOS STATINIŲ REMONTAS</t>
  </si>
  <si>
    <t>km</t>
  </si>
  <si>
    <t>III. MELIORACIJOS STATINIŲ VALSTYBINĖ APSKAITA IR PROJEKTŲ SUDARYMAS</t>
  </si>
  <si>
    <t>ha</t>
  </si>
  <si>
    <t>4 priedas</t>
  </si>
  <si>
    <t>Nusikalstamumo prevencijos  programa ,,Saugi bendruomenė"</t>
  </si>
  <si>
    <t>MB Savas darželis</t>
  </si>
  <si>
    <t>Atskaitymai nuo pajamų pagal Lietuvos Respublikos miškų įstatymą</t>
  </si>
  <si>
    <t>Prekių ir paslaugų mokesčiai (9+10)</t>
  </si>
  <si>
    <t>Palūkanos už depozitus, sąskaitų lik, paskolas</t>
  </si>
  <si>
    <t xml:space="preserve">     socialinėms paslaugoms (soc. globos teikimui asmenims su sunkia negalia užtikrinti) </t>
  </si>
  <si>
    <t xml:space="preserve">     socialinėms paslaugoms (darbo užmokesčiui soc.darbuotojams, teikiantiems socialinę priežiūra šeimoms) </t>
  </si>
  <si>
    <t xml:space="preserve">  socialinės paslaugos (darbo užmokesčiui individualios priežiūros darbuotojams, teikiantiems soc. priežiūrą šeimoms)</t>
  </si>
  <si>
    <t>Lėšos, skirtos užtikrinti asmenims, pradėjusiems gauti ilgalaikę socialinę globą iki 2007 m. sausio 1 d. iš apskričių viršininkų perduotose įstaigose, bendrųjų ir specialiųjų socialinių paslaugų finansavimą 2025 metais</t>
  </si>
  <si>
    <t>MATERIALIOJO IR NEMATERIALIOJO TURTO REALIZAVIMO PAJAMOS (29+30)</t>
  </si>
  <si>
    <t>KITOS PAJAMOS (12+16+21+26+27+28)</t>
  </si>
  <si>
    <t>Turto pajamos (13+14+15)</t>
  </si>
  <si>
    <t>Pajamos už prekes ir paslaugas (17+18+19+20)</t>
  </si>
  <si>
    <t>Rinkliavos (22+23)</t>
  </si>
  <si>
    <t>Vietinė rinkliava (24+25)</t>
  </si>
  <si>
    <t>Lėšos socialinių paslaugų šakos kolektyvinėje sutartyje nustatytiems įsipareigojimams įgyvendinti (ŠKS)</t>
  </si>
  <si>
    <t xml:space="preserve">      atskaitymai nuo pajamų  pagal LR miškų įstatymą</t>
  </si>
  <si>
    <t xml:space="preserve">socialinėms paslaugoms (soc. globos teikimui asmenims su sunkia negalia užtikrinti) </t>
  </si>
  <si>
    <t xml:space="preserve">socialinėms paslaugoms (darbo užmokesčiui soc.darbuotojams, teikiantiems socialinę priežiūra šeimoms) </t>
  </si>
  <si>
    <t>Valstybės garantuojamai pirminei teisinei pagalbai teikti</t>
  </si>
  <si>
    <t>socialinės paslaugos (darbo užmokesčiui individualios priežiūros darbuotojams, teikiantiems soc. priežiūrą šeimoms, auginančioms vaikus nuo 0 iki 12 mėn. ir vaikus su negalia nuo 0 iki 36 mėn.)</t>
  </si>
  <si>
    <t>Lėšos akredituotai soc. reabilitacijai asmenims su negalia bendruomenėje organizuoti</t>
  </si>
  <si>
    <t>Lėšos socialinių paslaugų šakos kolektyvinėje sutartyje nustatytiems įsipareigojimams įgyvendinti  (ŠKS)</t>
  </si>
  <si>
    <t xml:space="preserve">      ES projektų likutis </t>
  </si>
  <si>
    <t xml:space="preserve">      likutis už parduotą valstybinę žemę</t>
  </si>
  <si>
    <t xml:space="preserve">      Infrastruktūros plėtros įmokų, įstaigų pajamų įmokų likutis</t>
  </si>
  <si>
    <t xml:space="preserve">      likutis už parduotus savivaldybės būstus ir nekiln.turtą</t>
  </si>
  <si>
    <t>Socialinio būsto remontas ir plėtra</t>
  </si>
  <si>
    <r>
      <t xml:space="preserve">Ekonominės analizės, finansų ir biudžeto skyrius </t>
    </r>
    <r>
      <rPr>
        <sz val="10"/>
        <rFont val="Times New Roman"/>
        <family val="1"/>
        <charset val="186"/>
      </rPr>
      <t>(paskolų grąžinimas ir palūkanų mokėjimas)</t>
    </r>
  </si>
  <si>
    <t>Vietinės reikšmės viešųjų kelių priežiūra ir taisymas (pg LR miškų įstatymą)</t>
  </si>
  <si>
    <t xml:space="preserve">VšĮ Trakų turizmo ir verslo informacijos centro veiklos programa  </t>
  </si>
  <si>
    <t>VšĮ Trakų kultūros ir meno centro veiklos programa</t>
  </si>
  <si>
    <t>VšĮ Lentvario kultūros centro veiklos programa</t>
  </si>
  <si>
    <t>vnt.</t>
  </si>
  <si>
    <t>Avarinių, valstybei nuosavybės teise priklausančių, melioracijos statinių gedimų remontas</t>
  </si>
  <si>
    <t xml:space="preserve">                         ________________________________________________</t>
  </si>
  <si>
    <t>Darbų vertė, Eur</t>
  </si>
  <si>
    <t>Asociacijų mokestis</t>
  </si>
  <si>
    <t>Dalyvavimas užtikrinant viešąją tvarką rajone, vaizdo stebėjimo vykdymas</t>
  </si>
  <si>
    <r>
      <t xml:space="preserve">Ekonominės analizės, finansų ir biudžeto skyrius </t>
    </r>
    <r>
      <rPr>
        <sz val="9"/>
        <rFont val="Times New Roman"/>
        <family val="1"/>
        <charset val="186"/>
      </rPr>
      <t>(paskolų grąžinimas ir palūkanų mokėjimas)</t>
    </r>
  </si>
  <si>
    <t xml:space="preserve">Lėšos, skirtos užtikrinti 2025 metais ugdymą, maitinimą ir pavėžėjimą socialinę riziką patiriantiems vaikams ikimokykliniame ugdyme </t>
  </si>
  <si>
    <t>Neformaliojo suaugusiųjų švietimo paslaugų plėtra</t>
  </si>
  <si>
    <t>Lėšos, skirtos neformaliajai vaikų švietimo plėtrai</t>
  </si>
  <si>
    <t>Ekonomikos gaivinimo ir atsparumo didinimo priemonės lėšos (EGADP)</t>
  </si>
  <si>
    <t>Ekonomikos gaivinimo ir atsparumo didinimo priemonės lėšos (EGADP iš likučio)</t>
  </si>
  <si>
    <t>Ekonomikos gaivinimo ir atsparumo didinimo priemonės lėšos (EGADP su likučiu)</t>
  </si>
  <si>
    <t>Investiciniams projektams įgyvendinti (metų pradžios likutis)</t>
  </si>
  <si>
    <t>Skolintos lėšos investiciniams projektams finansuoti (metų pradžios likutis)</t>
  </si>
  <si>
    <t>Rajono seniūnijų aplinkos tvarkymo darbai</t>
  </si>
  <si>
    <t>Biudžetinių įstaigų šilumos ūkio modernizavimas</t>
  </si>
  <si>
    <t xml:space="preserve">Valstybės biudžeto lėšos kitiems projektams (likutis)
</t>
  </si>
  <si>
    <t>Sporto rėmimo programos ir sporto renginiai</t>
  </si>
  <si>
    <t>Lėšos kitoms mokymo reikmėms</t>
  </si>
  <si>
    <t>Informacinių sistemų palaikymas ir plėtra</t>
  </si>
  <si>
    <r>
      <t>Socialinės programos ir parama</t>
    </r>
    <r>
      <rPr>
        <sz val="9"/>
        <color rgb="FFC00000"/>
        <rFont val="Times New Roman"/>
        <family val="1"/>
        <charset val="186"/>
      </rPr>
      <t xml:space="preserve"> </t>
    </r>
  </si>
  <si>
    <t>Trakų globos ir socialinių paslaugų centras (su likučiu)</t>
  </si>
  <si>
    <t>Vietinės reikšmės viešųjų kelių priežiūra ir taisymas pg LR miškų įstatymą</t>
  </si>
  <si>
    <t>Lėšos asmeninei pagalbai teikti ir administruoti</t>
  </si>
  <si>
    <t>Lėšos laikino atokvėpio paslaugai teikti ir administrauoti</t>
  </si>
  <si>
    <t>3.3.2</t>
  </si>
  <si>
    <t>3.2.2</t>
  </si>
  <si>
    <t>VšĮ Mokymosi namai "Patirčių slėnis"</t>
  </si>
  <si>
    <t>Vietinės rinkliavos už komunalinių atliekų surinkimą ir tvarkymą administravimo programinė įranga</t>
  </si>
  <si>
    <t>Želdynų ir želdinių stebėsenos programos parengimas</t>
  </si>
  <si>
    <t xml:space="preserve">Visuomenės sveikatos rėmimo specialioji programa </t>
  </si>
  <si>
    <t>tarybos 2026 m. vasario d.</t>
  </si>
  <si>
    <t>sprendimo Nr. SPE-</t>
  </si>
  <si>
    <t>2026 metų speciali tikslinė dotacija ugdymo reikmėms finansuoti</t>
  </si>
  <si>
    <t xml:space="preserve">Lėšos, skirtos užtikrinti 2026 metais ugdymą, maitinimą ir pavėžėjimą socialinę riziką patiriantiems vaikams ikimokykliniame ugdyme </t>
  </si>
  <si>
    <t>Trakų r. Aukštadvario mokykla-darželis ,,Gandriukas"</t>
  </si>
  <si>
    <t>Lėšos socialinių paslaugų įstaigose dirbančių socialinių paslaugų srities darbuotojų pareiginei algai 2026 metams padidinti (SDU)</t>
  </si>
  <si>
    <t>Dusmenų kadastrinės vietovės melioracijos statinių remonto darbų techninės priežiūros paslaugos.</t>
  </si>
  <si>
    <t>Dusmenų kadastrinės vietovės melioracijos statinių remonto darbų projektinės dokumentacijos ekspertizė.</t>
  </si>
  <si>
    <t>Dusmenų kadastrinės vietovės melioracijos statinių remonto darbų projektinės dokumentacijos sudarymas.</t>
  </si>
  <si>
    <t xml:space="preserve">Melioruotos žemės būklės bei melioracijos statinių apskaitos ir  būklės duomenų rinkimas. </t>
  </si>
  <si>
    <t>2025–2026 m.</t>
  </si>
  <si>
    <t>Trakų r. Dusmenų kadastrinės vietovės melioracijos griovių ir juose esančių statinių  remonto darbai (įskaitant techninės priežiūros paslaugas)</t>
  </si>
  <si>
    <t>2026–2027 m.</t>
  </si>
  <si>
    <t xml:space="preserve">Dusmenų kadastrinės vietovės melioracijos  statinių remonto darbai </t>
  </si>
  <si>
    <t>Melioracijos griovio B priežiūros darbai.</t>
  </si>
  <si>
    <t>Užtvankų priežiūros darbai.</t>
  </si>
  <si>
    <t>Mato vnt.</t>
  </si>
  <si>
    <t xml:space="preserve">        TRAKŲ RAJONO SAVIVALDYBĖS 2026 METŲ MELIORACIJOS DARBŲ,</t>
  </si>
  <si>
    <t>sprendimo Nr. S1E-</t>
  </si>
  <si>
    <t>tarybos 2026 m.  vasario     d.</t>
  </si>
  <si>
    <r>
      <t xml:space="preserve">Gyventojų pajamų mokestis </t>
    </r>
    <r>
      <rPr>
        <i/>
        <sz val="10"/>
        <rFont val="Times New Roman"/>
        <family val="1"/>
        <charset val="186"/>
      </rPr>
      <t>(pagal LR 2026–2028 metų biudžeto patvirtinimo įstatymą 5 priedą)</t>
    </r>
  </si>
  <si>
    <t>2025 metų nepanaudotos biudžeto pajamos</t>
  </si>
  <si>
    <t xml:space="preserve">      VB, BF projektų likučiai</t>
  </si>
  <si>
    <t xml:space="preserve">Dotacija savivaldybėms iš Europos Sąjungos, kitos tarptautinės
 finansinės paramos ir bendrojo finansavimo lėšų </t>
  </si>
  <si>
    <t>TRAKŲ RAJONO SAVIVALDYBĖS 2026 METŲ BIUDŽETAS</t>
  </si>
  <si>
    <t>tarybos 2026 m. vasario      d.</t>
  </si>
  <si>
    <t>tarybos 2026 m. vasario    d.</t>
  </si>
  <si>
    <t xml:space="preserve">Trakų rajono savivaldybės 2026 metų asignavimai </t>
  </si>
  <si>
    <t>Seniūnijų valdymo išlaidos</t>
  </si>
  <si>
    <t>Dalyvaujamasis biudžetas (su 2025 m. likučiu)</t>
  </si>
  <si>
    <t>Stambiagabaritinių ir tekstilės atliekų tvarkymas</t>
  </si>
  <si>
    <t>Vietinės reikšmės viešųjų kelių priežiūra ir taisymas (SB lėšos)</t>
  </si>
  <si>
    <t>Kapinių tvarkymas ir priežiūra</t>
  </si>
  <si>
    <t>Rajono seniūnijų gatvių apšvietimas ir priežiūra</t>
  </si>
  <si>
    <t xml:space="preserve">Biudžetinių įstaigų remontams ir turtui įsigyti </t>
  </si>
  <si>
    <t>Trakų miesto gimtadienio šventės organizavimas</t>
  </si>
  <si>
    <t>Tradicinės Lentvaris Fest šventės organizavimas</t>
  </si>
  <si>
    <t xml:space="preserve"> Trakų rajono turizmo strategijos parengimas</t>
  </si>
  <si>
    <t xml:space="preserve">Trakų rajono savivaldybės 2026 metų biudžetinių įstaigų asignavimai </t>
  </si>
  <si>
    <t>2026 metų speciali tikslinė dotacija valstybinėms (valstybės perduotoms savivaldybėms) funkcijoms atlikti</t>
  </si>
  <si>
    <t>Tarybos 2026 m. vasario      d.</t>
  </si>
  <si>
    <t>Trakų rajono savivaldybės 2026 metų biudžetinių įstaigų pajamų įmokos</t>
  </si>
  <si>
    <t>Valstybės biudžeto specialios tikslinės dotacijos, kitos dotacijos 2026 metams</t>
  </si>
  <si>
    <t>tarybos 2026 m. vasario       d.</t>
  </si>
  <si>
    <t>Trakų rajono savivaldybės 2026 metų asignavimai
 pagal asignavimų valdytojus</t>
  </si>
  <si>
    <t>Seniūnijų savarankiškų veiklų programa:</t>
  </si>
  <si>
    <t>Valstybės biudžeto lėšos projektams įgyvendinti</t>
  </si>
  <si>
    <t>tarybos 202  m.                d.</t>
  </si>
  <si>
    <t>TRAKŲ RAJONO APLINKOS APSAUGOS RĖMIMO SPECIALIOSIOS PROGRAMOS 2026 METŲ PRIEMONIŲ SĄMATA</t>
  </si>
  <si>
    <t>Planuojamos lėšos 2026 (tūkst. Eur)</t>
  </si>
  <si>
    <t xml:space="preserve">2025 metų lėšų likutis, išskyrus mokestį už medžiojamųjų gyvūnų išteklių naudojimą </t>
  </si>
  <si>
    <t>2025 metų mokesčio už medžiojamųjų gyvūnų išteklių naudojimą likutis</t>
  </si>
  <si>
    <t>2025 metų Savivaldybės visuomenės sveikatos rėmimo specialiajai programai skirtų lėšų likutis</t>
  </si>
  <si>
    <t>Iš 2025 m. likučio</t>
  </si>
  <si>
    <t>Iš 2026 m. pajamų</t>
  </si>
  <si>
    <t>Invazinių Lietuvoje rūšių sąraše esančių rūšių gausos reguliavimo ir naikinimo darbai bei priemonės įgyvendinimui reikalingos dokumentacijos rengimas</t>
  </si>
  <si>
    <t>3.1.3</t>
  </si>
  <si>
    <t>Gyventojams priklausančių gaminių, turinčių neigiamą poveikį aplinkai darančių medžiagų, atliekų tvarkymas</t>
  </si>
  <si>
    <t>Trakų rajono savivaldybės aplinkos monitoringo programos parengimas ir įgyvendinimas</t>
  </si>
  <si>
    <t>Vandens telkinių pakrančių valymas ir tvarkymas, techninės dokumentacijos parengimas</t>
  </si>
  <si>
    <t>3.5.3</t>
  </si>
  <si>
    <t>Iš viso iš 2025 m. likučio ir 2026 m. pajamų:</t>
  </si>
  <si>
    <t>Lėšos būsto pritaikymo asmenims su negalia 2026 metams</t>
  </si>
  <si>
    <t>Lėšos, skirtos savivaldybių įstaigose dirbančių trenerių padidintam darbo užmokesčiui nuo 2026 m. sausio 1 d. mokėti</t>
  </si>
  <si>
    <t xml:space="preserve">    savivaldybės erdvinių duomenų rinkinio tvarkymas</t>
  </si>
  <si>
    <t>Savivaldybės erdvinių duomenų rinkinio tvarkymas</t>
  </si>
  <si>
    <t>dalyvavimas rengiant ir vykdant mobilizaciją, demobilizaciją, priimančiosios šalies paramą</t>
  </si>
  <si>
    <t>Dalyvavimas rengiant ir vykdant mobilizaciją, demobilizaciją, priimančiosios šalies paramą</t>
  </si>
  <si>
    <t>38.1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</si>
  <si>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</si>
  <si>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</si>
  <si>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</si>
  <si>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</si>
  <si>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</si>
  <si>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</si>
  <si>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</si>
  <si>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</si>
  <si>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</si>
  <si>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</si>
  <si>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</si>
  <si>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</si>
  <si>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</si>
  <si>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</si>
  <si>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</si>
  <si>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</si>
  <si>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</si>
  <si>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38.19</t>
  </si>
  <si>
    <t>38.20</t>
  </si>
  <si>
    <t>38.21</t>
  </si>
  <si>
    <t>38.22</t>
  </si>
  <si>
    <t>38.23</t>
  </si>
  <si>
    <t>38.24</t>
  </si>
  <si>
    <t xml:space="preserve">tarybos 2026 m. vasario    d. </t>
  </si>
  <si>
    <t>tarybos 2026 m. vasario   d.</t>
  </si>
  <si>
    <t>sprendimo Nr. S1PE-</t>
  </si>
  <si>
    <t xml:space="preserve">Valstybės biudžeto lėšos kitiems projektams
</t>
  </si>
  <si>
    <t>Valstybės biudžeto lėšos kitiems projektams  (su likučiu)</t>
  </si>
  <si>
    <t>Trakų rajono savivaldybės 2026 metų asignavimai</t>
  </si>
  <si>
    <t>Lėšos, skirtos užtikrinti asmenims, pradėjusiems gauti ilgalaikę socialinę globą iki 2007 m. sausio 1 d. iš apskričių viršininkų perduotose įstaigose, bendrųjų ir specialiųjų socialinių paslaugų finansavimą</t>
  </si>
  <si>
    <t xml:space="preserve"> lėšos koordinuotai teikiamų paslaugų vaikams nuo gimimo iki 18 metų (turintiems didelių ir labai didelių specialiųjų ugdymosi poreikių - iki 21 metų) ir vaiko atstovams pagal įstatymą koordinavimui </t>
  </si>
  <si>
    <t>38.25</t>
  </si>
  <si>
    <t>Specialios tikslinės dotacijos (38+39+40+41+42+43+44+45+46+47+48+49+50+51+52+53+54+55)</t>
  </si>
  <si>
    <t>DOTACIJOS (34+35+36+37)</t>
  </si>
  <si>
    <t>IŠ VISO PAJAMŲ IR DOTACIJŲ (32+33)</t>
  </si>
  <si>
    <t>IŠ VISO (56+57)</t>
  </si>
  <si>
    <t>Trakų rajono savivaldybės biudžeto skolintos lėšos 2026 metams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</si>
</sst>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"/>
    <numFmt numFmtId="166" formatCode="#,##0\ &quot;Lt&quot;;[Red]\-#,##0\ &quot;Lt&quot;"/>
    <numFmt numFmtId="167" formatCode="#,##0.000"/>
    <numFmt numFmtId="168" formatCode="#,##0.0"/>
  </numFmts>
  <fonts count="114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</font>
    <font>
      <b/>
      <sz val="10"/>
      <name val="Arial"/>
      <family val="2"/>
      <charset val="186"/>
    </font>
    <font>
      <sz val="9"/>
      <name val="Calibri"/>
      <family val="2"/>
      <charset val="186"/>
    </font>
    <font>
      <sz val="11"/>
      <name val="Times New Roman"/>
      <family val="2"/>
      <charset val="186"/>
    </font>
    <font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8"/>
      <color indexed="8"/>
      <name val="Times New Roman"/>
      <family val="2"/>
      <charset val="186"/>
    </font>
    <font>
      <sz val="10"/>
      <color theme="1"/>
      <name val="Times New Roman"/>
      <family val="1"/>
      <charset val="186"/>
    </font>
    <font>
      <sz val="11"/>
      <color indexed="10"/>
      <name val="Calibri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u/>
      <sz val="11"/>
      <color theme="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b/>
      <i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9"/>
      <color indexed="8"/>
      <name val="Times New Roman"/>
      <family val="2"/>
      <charset val="186"/>
    </font>
    <font>
      <sz val="10"/>
      <name val="Times New Roman"/>
      <family val="2"/>
      <charset val="186"/>
    </font>
    <font>
      <sz val="9"/>
      <name val="Times New Roman"/>
      <family val="2"/>
      <charset val="186"/>
    </font>
    <font>
      <sz val="8"/>
      <name val="Times New Roman"/>
      <family val="2"/>
      <charset val="186"/>
    </font>
    <font>
      <sz val="7"/>
      <name val="Times New Roman"/>
      <family val="1"/>
      <charset val="186"/>
    </font>
    <font>
      <sz val="7"/>
      <name val="Times New Roman"/>
      <family val="2"/>
      <charset val="186"/>
    </font>
    <font>
      <sz val="8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0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  <font>
      <sz val="12"/>
      <name val="Times New Roman"/>
      <family val="2"/>
      <charset val="186"/>
    </font>
    <font>
      <sz val="14"/>
      <name val="Times New Roman"/>
      <family val="1"/>
    </font>
    <font>
      <sz val="12"/>
      <name val="Times New Roman"/>
      <family val="1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scheme val="minor"/>
    </font>
    <font>
      <sz val="10"/>
      <name val="Calibri"/>
      <family val="2"/>
      <charset val="186"/>
    </font>
    <font>
      <b/>
      <sz val="11"/>
      <name val="Calibri"/>
      <family val="2"/>
      <charset val="186"/>
    </font>
    <font>
      <b/>
      <sz val="9"/>
      <color indexed="8"/>
      <name val="Times New Roman"/>
      <family val="1"/>
      <charset val="186"/>
    </font>
    <font>
      <sz val="11"/>
      <color indexed="8"/>
      <name val="Times New Roman"/>
      <family val="2"/>
      <charset val="186"/>
    </font>
    <font>
      <sz val="11"/>
      <color rgb="FFFF0000"/>
      <name val="Times New Roman"/>
      <family val="2"/>
      <charset val="186"/>
    </font>
    <font>
      <sz val="10"/>
      <color indexed="8"/>
      <name val="Times New Roman"/>
      <family val="2"/>
      <charset val="186"/>
    </font>
    <font>
      <b/>
      <sz val="11"/>
      <color indexed="8"/>
      <name val="Times New Roman"/>
      <family val="2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0"/>
      <color theme="8"/>
      <name val="Times New Roman"/>
      <family val="1"/>
      <charset val="186"/>
    </font>
    <font>
      <sz val="11"/>
      <color rgb="FF00B0F0"/>
      <name val="Calibri"/>
      <family val="2"/>
      <charset val="186"/>
      <scheme val="minor"/>
    </font>
    <font>
      <b/>
      <sz val="10"/>
      <color rgb="FF00B0F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b/>
      <i/>
      <sz val="10"/>
      <color rgb="FF00B0F0"/>
      <name val="Times New Roman"/>
      <family val="1"/>
      <charset val="186"/>
    </font>
    <font>
      <sz val="10"/>
      <color rgb="FF00B0F0"/>
      <name val="Times New Roman"/>
      <family val="2"/>
      <charset val="186"/>
    </font>
    <font>
      <sz val="9"/>
      <color rgb="FF00B0F0"/>
      <name val="Times New Roman"/>
      <family val="2"/>
      <charset val="186"/>
    </font>
    <font>
      <b/>
      <sz val="11"/>
      <color rgb="FF00B0F0"/>
      <name val="Calibri"/>
      <family val="2"/>
      <charset val="186"/>
      <scheme val="minor"/>
    </font>
    <font>
      <b/>
      <strike/>
      <sz val="11"/>
      <color theme="4" tint="-0.249977111117893"/>
      <name val="Calibri"/>
      <family val="2"/>
      <charset val="186"/>
    </font>
    <font>
      <b/>
      <sz val="12"/>
      <color theme="4" tint="-0.249977111117893"/>
      <name val="Times New Roman"/>
      <family val="1"/>
      <charset val="186"/>
    </font>
    <font>
      <b/>
      <sz val="10"/>
      <color theme="4" tint="-0.249977111117893"/>
      <name val="Times New Roman"/>
      <family val="1"/>
      <charset val="186"/>
    </font>
    <font>
      <b/>
      <sz val="9"/>
      <color theme="4" tint="-0.249977111117893"/>
      <name val="Times New Roman"/>
      <family val="1"/>
      <charset val="186"/>
    </font>
    <font>
      <b/>
      <sz val="11"/>
      <color theme="4" tint="-0.249977111117893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b/>
      <sz val="12"/>
      <name val="Times New Roman"/>
      <family val="1"/>
    </font>
    <font>
      <sz val="9"/>
      <color theme="8"/>
      <name val="Times New Roman"/>
      <family val="1"/>
      <charset val="186"/>
    </font>
    <font>
      <b/>
      <sz val="9"/>
      <color theme="8"/>
      <name val="Times New Roman"/>
      <family val="1"/>
      <charset val="186"/>
    </font>
    <font>
      <b/>
      <sz val="9"/>
      <name val="Times New Roman"/>
      <family val="2"/>
      <charset val="186"/>
    </font>
    <font>
      <b/>
      <sz val="9"/>
      <name val="Calibri"/>
      <family val="2"/>
      <charset val="186"/>
      <scheme val="minor"/>
    </font>
    <font>
      <sz val="11"/>
      <color theme="8"/>
      <name val="Calibri"/>
      <family val="2"/>
      <charset val="186"/>
      <scheme val="minor"/>
    </font>
    <font>
      <sz val="9"/>
      <color rgb="FFC00000"/>
      <name val="Times New Roman"/>
      <family val="1"/>
      <charset val="186"/>
    </font>
    <font>
      <sz val="11"/>
      <color theme="4"/>
      <name val="Calibri"/>
      <family val="2"/>
      <charset val="186"/>
      <scheme val="minor"/>
    </font>
    <font>
      <b/>
      <sz val="11"/>
      <color theme="4"/>
      <name val="Times New Roman"/>
      <family val="1"/>
      <charset val="186"/>
    </font>
    <font>
      <b/>
      <sz val="12"/>
      <color theme="4"/>
      <name val="Times New Roman"/>
      <family val="1"/>
      <charset val="186"/>
    </font>
    <font>
      <sz val="10"/>
      <color theme="4"/>
      <name val="Times New Roman"/>
      <family val="1"/>
      <charset val="186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color rgb="FFFF000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theme="0" tint="-0.14999847407452621"/>
      <name val="Times New Roman"/>
      <family val="1"/>
      <charset val="186"/>
    </font>
    <font>
      <sz val="11"/>
      <color theme="0" tint="-0.1499984740745262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sz val="10"/>
      <name val="Arial"/>
      <family val="2"/>
    </font>
    <font>
      <i/>
      <sz val="8"/>
      <name val="Times New Roman"/>
      <family val="1"/>
      <charset val="186"/>
    </font>
    <font>
      <i/>
      <sz val="10"/>
      <name val="Arial"/>
      <family val="2"/>
      <charset val="186"/>
    </font>
    <font>
      <i/>
      <sz val="9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i/>
      <sz val="11"/>
      <name val="Times New Roman"/>
      <family val="2"/>
      <charset val="186"/>
    </font>
    <font>
      <i/>
      <sz val="10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b/>
      <i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2"/>
      <color theme="0" tint="-0.14999847407452621"/>
      <name val="Times New Roman"/>
      <family val="1"/>
      <charset val="186"/>
    </font>
    <font>
      <sz val="12"/>
      <color theme="0" tint="-0.14999847407452621"/>
      <name val="Times New Roman"/>
      <family val="1"/>
    </font>
    <font>
      <sz val="12"/>
      <color indexed="8"/>
      <name val="Times New Roman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43" fontId="45" fillId="0" borderId="0" applyFont="0" applyFill="0" applyBorder="0" applyAlignment="0" applyProtection="0"/>
    <xf numFmtId="0" fontId="3" fillId="0" borderId="0"/>
    <xf numFmtId="43" fontId="45" fillId="0" borderId="0" applyFont="0" applyFill="0" applyBorder="0" applyAlignment="0" applyProtection="0"/>
    <xf numFmtId="0" fontId="54" fillId="0" borderId="0">
      <alignment vertical="top" wrapText="1"/>
    </xf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3" fillId="0" borderId="0"/>
    <xf numFmtId="0" fontId="113" fillId="0" borderId="0"/>
  </cellStyleXfs>
  <cellXfs count="598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8" xfId="0" applyFont="1" applyBorder="1" applyAlignment="1">
      <alignment wrapText="1"/>
    </xf>
    <xf numFmtId="0" fontId="5" fillId="0" borderId="0" xfId="0" applyFont="1"/>
    <xf numFmtId="0" fontId="9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49" fillId="0" borderId="0" xfId="0" applyFont="1"/>
    <xf numFmtId="0" fontId="49" fillId="0" borderId="0" xfId="0" applyFont="1" applyAlignment="1">
      <alignment horizontal="center"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4" fillId="0" borderId="0" xfId="0" applyFont="1" applyAlignment="1">
      <alignment horizontal="right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2" fillId="0" borderId="0" xfId="0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/>
    <xf numFmtId="165" fontId="1" fillId="0" borderId="0" xfId="0" applyNumberFormat="1" applyFont="1"/>
    <xf numFmtId="0" fontId="41" fillId="0" borderId="0" xfId="0" applyFont="1"/>
    <xf numFmtId="0" fontId="9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23" fillId="0" borderId="0" xfId="0" applyFont="1"/>
    <xf numFmtId="165" fontId="6" fillId="0" borderId="0" xfId="0" applyNumberFormat="1" applyFont="1"/>
    <xf numFmtId="165" fontId="9" fillId="0" borderId="8" xfId="0" applyNumberFormat="1" applyFont="1" applyBorder="1"/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7" fillId="0" borderId="8" xfId="0" applyNumberFormat="1" applyFont="1" applyBorder="1" applyAlignment="1">
      <alignment horizontal="right"/>
    </xf>
    <xf numFmtId="0" fontId="9" fillId="0" borderId="8" xfId="0" applyFont="1" applyBorder="1"/>
    <xf numFmtId="0" fontId="7" fillId="0" borderId="8" xfId="0" applyFont="1" applyBorder="1" applyAlignment="1">
      <alignment horizontal="center"/>
    </xf>
    <xf numFmtId="2" fontId="1" fillId="0" borderId="0" xfId="0" applyNumberFormat="1" applyFont="1"/>
    <xf numFmtId="165" fontId="7" fillId="0" borderId="0" xfId="0" applyNumberFormat="1" applyFont="1"/>
    <xf numFmtId="165" fontId="9" fillId="0" borderId="8" xfId="0" applyNumberFormat="1" applyFont="1" applyBorder="1" applyAlignment="1">
      <alignment horizontal="right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right"/>
    </xf>
    <xf numFmtId="0" fontId="11" fillId="0" borderId="13" xfId="0" applyFont="1" applyBorder="1" applyAlignment="1">
      <alignment horizontal="center"/>
    </xf>
    <xf numFmtId="0" fontId="1" fillId="0" borderId="13" xfId="0" applyFont="1" applyBorder="1"/>
    <xf numFmtId="0" fontId="22" fillId="0" borderId="0" xfId="0" applyFont="1"/>
    <xf numFmtId="0" fontId="27" fillId="0" borderId="0" xfId="0" applyFont="1"/>
    <xf numFmtId="0" fontId="24" fillId="0" borderId="0" xfId="0" applyFont="1" applyAlignment="1">
      <alignment horizontal="center"/>
    </xf>
    <xf numFmtId="0" fontId="6" fillId="0" borderId="8" xfId="0" applyFont="1" applyBorder="1" applyAlignment="1">
      <alignment vertical="center" wrapText="1"/>
    </xf>
    <xf numFmtId="0" fontId="64" fillId="0" borderId="0" xfId="0" applyFont="1" applyAlignment="1">
      <alignment horizontal="justify" vertical="center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center"/>
    </xf>
    <xf numFmtId="165" fontId="7" fillId="0" borderId="8" xfId="0" applyNumberFormat="1" applyFont="1" applyBorder="1" applyAlignment="1">
      <alignment vertical="center"/>
    </xf>
    <xf numFmtId="0" fontId="46" fillId="0" borderId="0" xfId="0" applyFont="1"/>
    <xf numFmtId="0" fontId="62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1" fontId="0" fillId="0" borderId="15" xfId="0" applyNumberFormat="1" applyBorder="1"/>
    <xf numFmtId="0" fontId="39" fillId="0" borderId="8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65" fontId="67" fillId="0" borderId="8" xfId="1" applyNumberFormat="1" applyFont="1" applyFill="1" applyBorder="1" applyAlignment="1">
      <alignment horizontal="right"/>
    </xf>
    <xf numFmtId="0" fontId="41" fillId="0" borderId="0" xfId="0" applyFont="1" applyAlignment="1">
      <alignment vertical="center"/>
    </xf>
    <xf numFmtId="0" fontId="1" fillId="2" borderId="0" xfId="0" applyFont="1" applyFill="1"/>
    <xf numFmtId="165" fontId="78" fillId="0" borderId="0" xfId="0" applyNumberFormat="1" applyFont="1"/>
    <xf numFmtId="165" fontId="79" fillId="0" borderId="0" xfId="0" applyNumberFormat="1" applyFont="1"/>
    <xf numFmtId="165" fontId="77" fillId="0" borderId="0" xfId="0" applyNumberFormat="1" applyFont="1"/>
    <xf numFmtId="0" fontId="80" fillId="0" borderId="0" xfId="0" applyFont="1" applyAlignment="1">
      <alignment vertical="center"/>
    </xf>
    <xf numFmtId="165" fontId="86" fillId="0" borderId="0" xfId="0" applyNumberFormat="1" applyFont="1"/>
    <xf numFmtId="0" fontId="88" fillId="0" borderId="0" xfId="0" applyFont="1"/>
    <xf numFmtId="0" fontId="89" fillId="0" borderId="0" xfId="0" applyFont="1"/>
    <xf numFmtId="0" fontId="90" fillId="0" borderId="0" xfId="0" applyFont="1"/>
    <xf numFmtId="164" fontId="91" fillId="0" borderId="0" xfId="0" applyNumberFormat="1" applyFont="1" applyAlignment="1">
      <alignment horizontal="right"/>
    </xf>
    <xf numFmtId="0" fontId="88" fillId="0" borderId="0" xfId="0" applyFont="1" applyAlignment="1">
      <alignment vertical="center"/>
    </xf>
    <xf numFmtId="0" fontId="56" fillId="0" borderId="0" xfId="0" applyFont="1"/>
    <xf numFmtId="165" fontId="55" fillId="0" borderId="0" xfId="0" applyNumberFormat="1" applyFont="1"/>
    <xf numFmtId="0" fontId="9" fillId="0" borderId="13" xfId="0" applyFont="1" applyBorder="1"/>
    <xf numFmtId="0" fontId="7" fillId="0" borderId="15" xfId="0" applyFont="1" applyBorder="1" applyAlignment="1">
      <alignment horizontal="center"/>
    </xf>
    <xf numFmtId="0" fontId="35" fillId="0" borderId="15" xfId="0" applyFont="1" applyBorder="1"/>
    <xf numFmtId="0" fontId="36" fillId="0" borderId="0" xfId="0" applyFont="1"/>
    <xf numFmtId="0" fontId="42" fillId="2" borderId="0" xfId="0" applyFont="1" applyFill="1"/>
    <xf numFmtId="165" fontId="2" fillId="2" borderId="0" xfId="0" applyNumberFormat="1" applyFont="1" applyFill="1"/>
    <xf numFmtId="0" fontId="68" fillId="2" borderId="0" xfId="0" applyFont="1" applyFill="1"/>
    <xf numFmtId="165" fontId="68" fillId="2" borderId="0" xfId="0" applyNumberFormat="1" applyFont="1" applyFill="1"/>
    <xf numFmtId="0" fontId="74" fillId="2" borderId="0" xfId="0" applyFont="1" applyFill="1"/>
    <xf numFmtId="0" fontId="95" fillId="0" borderId="0" xfId="0" applyFont="1"/>
    <xf numFmtId="0" fontId="7" fillId="0" borderId="0" xfId="0" applyFont="1" applyAlignment="1">
      <alignment horizontal="center" vertical="center" wrapText="1"/>
    </xf>
    <xf numFmtId="0" fontId="9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51" fillId="0" borderId="0" xfId="0" applyFont="1"/>
    <xf numFmtId="0" fontId="1" fillId="0" borderId="0" xfId="0" applyFont="1" applyAlignment="1">
      <alignment horizontal="left" vertical="center" wrapText="1"/>
    </xf>
    <xf numFmtId="165" fontId="49" fillId="0" borderId="0" xfId="0" applyNumberFormat="1" applyFont="1"/>
    <xf numFmtId="165" fontId="100" fillId="0" borderId="0" xfId="0" applyNumberFormat="1" applyFont="1"/>
    <xf numFmtId="0" fontId="9" fillId="0" borderId="14" xfId="0" applyFont="1" applyBorder="1" applyAlignment="1">
      <alignment vertical="center" wrapText="1"/>
    </xf>
    <xf numFmtId="165" fontId="75" fillId="0" borderId="0" xfId="0" applyNumberFormat="1" applyFont="1"/>
    <xf numFmtId="165" fontId="76" fillId="0" borderId="0" xfId="0" applyNumberFormat="1" applyFont="1"/>
    <xf numFmtId="16" fontId="1" fillId="0" borderId="0" xfId="0" applyNumberFormat="1" applyFont="1" applyAlignment="1">
      <alignment vertical="center"/>
    </xf>
    <xf numFmtId="17" fontId="1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9" fillId="0" borderId="31" xfId="0" applyFont="1" applyBorder="1"/>
    <xf numFmtId="0" fontId="1" fillId="0" borderId="31" xfId="0" applyFont="1" applyBorder="1"/>
    <xf numFmtId="0" fontId="3" fillId="0" borderId="0" xfId="7"/>
    <xf numFmtId="0" fontId="3" fillId="0" borderId="0" xfId="7" applyAlignment="1">
      <alignment horizontal="center"/>
    </xf>
    <xf numFmtId="0" fontId="9" fillId="0" borderId="0" xfId="7" applyFont="1"/>
    <xf numFmtId="0" fontId="9" fillId="0" borderId="0" xfId="7" applyFont="1" applyAlignment="1">
      <alignment horizontal="left"/>
    </xf>
    <xf numFmtId="0" fontId="11" fillId="0" borderId="0" xfId="7" applyFont="1"/>
    <xf numFmtId="0" fontId="8" fillId="0" borderId="0" xfId="7" applyFont="1"/>
    <xf numFmtId="165" fontId="8" fillId="0" borderId="0" xfId="7" applyNumberFormat="1" applyFont="1"/>
    <xf numFmtId="0" fontId="101" fillId="0" borderId="0" xfId="7" applyFont="1" applyAlignment="1">
      <alignment horizontal="center"/>
    </xf>
    <xf numFmtId="0" fontId="100" fillId="2" borderId="0" xfId="0" applyFont="1" applyFill="1"/>
    <xf numFmtId="0" fontId="105" fillId="2" borderId="0" xfId="0" applyFont="1" applyFill="1"/>
    <xf numFmtId="0" fontId="107" fillId="2" borderId="0" xfId="0" applyFont="1" applyFill="1"/>
    <xf numFmtId="0" fontId="9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00" fillId="0" borderId="0" xfId="0" applyFont="1"/>
    <xf numFmtId="0" fontId="3" fillId="0" borderId="0" xfId="0" applyFont="1"/>
    <xf numFmtId="165" fontId="4" fillId="0" borderId="0" xfId="0" applyNumberFormat="1" applyFont="1"/>
    <xf numFmtId="165" fontId="17" fillId="0" borderId="0" xfId="0" applyNumberFormat="1" applyFont="1" applyAlignment="1">
      <alignment horizontal="right"/>
    </xf>
    <xf numFmtId="0" fontId="2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/>
    </xf>
    <xf numFmtId="165" fontId="5" fillId="0" borderId="21" xfId="0" applyNumberFormat="1" applyFont="1" applyBorder="1" applyAlignment="1">
      <alignment horizontal="center" vertical="center" wrapText="1"/>
    </xf>
    <xf numFmtId="0" fontId="102" fillId="0" borderId="0" xfId="0" applyFont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 vertical="center"/>
    </xf>
    <xf numFmtId="0" fontId="100" fillId="0" borderId="0" xfId="0" applyFont="1" applyAlignment="1">
      <alignment vertical="center" wrapText="1"/>
    </xf>
    <xf numFmtId="0" fontId="9" fillId="0" borderId="2" xfId="0" applyFont="1" applyBorder="1"/>
    <xf numFmtId="165" fontId="9" fillId="0" borderId="3" xfId="0" applyNumberFormat="1" applyFont="1" applyBorder="1" applyAlignment="1">
      <alignment vertical="center"/>
    </xf>
    <xf numFmtId="0" fontId="103" fillId="0" borderId="0" xfId="0" applyFont="1"/>
    <xf numFmtId="0" fontId="6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vertical="top" wrapText="1"/>
    </xf>
    <xf numFmtId="0" fontId="9" fillId="0" borderId="27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vertical="center"/>
    </xf>
    <xf numFmtId="0" fontId="9" fillId="0" borderId="28" xfId="0" applyFont="1" applyBorder="1"/>
    <xf numFmtId="165" fontId="9" fillId="0" borderId="29" xfId="0" applyNumberFormat="1" applyFont="1" applyBorder="1" applyAlignment="1">
      <alignment vertical="center"/>
    </xf>
    <xf numFmtId="0" fontId="9" fillId="0" borderId="2" xfId="0" applyFont="1" applyBorder="1" applyAlignment="1">
      <alignment horizontal="left"/>
    </xf>
    <xf numFmtId="1" fontId="100" fillId="0" borderId="0" xfId="0" applyNumberFormat="1" applyFont="1"/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104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wrapText="1"/>
    </xf>
    <xf numFmtId="165" fontId="29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10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165" fontId="7" fillId="0" borderId="5" xfId="0" applyNumberFormat="1" applyFont="1" applyBorder="1" applyAlignment="1">
      <alignment vertical="center"/>
    </xf>
    <xf numFmtId="0" fontId="100" fillId="0" borderId="0" xfId="0" applyFont="1" applyAlignment="1">
      <alignment vertical="center"/>
    </xf>
    <xf numFmtId="0" fontId="9" fillId="0" borderId="30" xfId="0" applyFont="1" applyBorder="1" applyAlignment="1">
      <alignment wrapText="1"/>
    </xf>
    <xf numFmtId="165" fontId="7" fillId="0" borderId="33" xfId="0" applyNumberFormat="1" applyFont="1" applyBorder="1" applyAlignment="1">
      <alignment vertical="center"/>
    </xf>
    <xf numFmtId="49" fontId="6" fillId="0" borderId="37" xfId="0" applyNumberFormat="1" applyFont="1" applyBorder="1" applyAlignment="1">
      <alignment horizontal="center"/>
    </xf>
    <xf numFmtId="165" fontId="9" fillId="0" borderId="8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165" fontId="9" fillId="0" borderId="6" xfId="0" applyNumberFormat="1" applyFont="1" applyBorder="1" applyAlignment="1">
      <alignment horizontal="right" vertical="center"/>
    </xf>
    <xf numFmtId="0" fontId="9" fillId="0" borderId="16" xfId="0" applyFont="1" applyBorder="1"/>
    <xf numFmtId="165" fontId="9" fillId="0" borderId="18" xfId="0" applyNumberFormat="1" applyFont="1" applyBorder="1" applyAlignment="1">
      <alignment horizontal="right" vertical="center"/>
    </xf>
    <xf numFmtId="165" fontId="106" fillId="0" borderId="0" xfId="0" applyNumberFormat="1" applyFont="1"/>
    <xf numFmtId="165" fontId="9" fillId="0" borderId="18" xfId="0" applyNumberFormat="1" applyFont="1" applyBorder="1" applyAlignment="1">
      <alignment vertical="center"/>
    </xf>
    <xf numFmtId="0" fontId="6" fillId="0" borderId="26" xfId="0" applyFont="1" applyBorder="1" applyAlignment="1">
      <alignment horizontal="center"/>
    </xf>
    <xf numFmtId="0" fontId="9" fillId="0" borderId="4" xfId="0" applyFont="1" applyBorder="1"/>
    <xf numFmtId="0" fontId="9" fillId="0" borderId="27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vertical="center"/>
    </xf>
    <xf numFmtId="0" fontId="9" fillId="0" borderId="34" xfId="0" applyFont="1" applyBorder="1" applyAlignment="1">
      <alignment vertical="center" wrapText="1"/>
    </xf>
    <xf numFmtId="165" fontId="7" fillId="0" borderId="27" xfId="0" applyNumberFormat="1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0" fontId="7" fillId="0" borderId="36" xfId="0" applyFont="1" applyBorder="1" applyAlignment="1">
      <alignment horizontal="center"/>
    </xf>
    <xf numFmtId="165" fontId="7" fillId="0" borderId="12" xfId="0" applyNumberFormat="1" applyFont="1" applyBorder="1" applyAlignment="1">
      <alignment vertical="center"/>
    </xf>
    <xf numFmtId="0" fontId="6" fillId="0" borderId="8" xfId="0" applyFont="1" applyBorder="1" applyAlignment="1">
      <alignment horizontal="left"/>
    </xf>
    <xf numFmtId="165" fontId="15" fillId="0" borderId="8" xfId="0" applyNumberFormat="1" applyFont="1" applyBorder="1" applyAlignment="1">
      <alignment vertical="center"/>
    </xf>
    <xf numFmtId="0" fontId="6" fillId="0" borderId="35" xfId="0" applyFont="1" applyBorder="1" applyAlignment="1">
      <alignment horizontal="left"/>
    </xf>
    <xf numFmtId="165" fontId="6" fillId="0" borderId="14" xfId="0" applyNumberFormat="1" applyFont="1" applyBorder="1" applyAlignment="1">
      <alignment vertical="center"/>
    </xf>
    <xf numFmtId="165" fontId="44" fillId="0" borderId="0" xfId="0" applyNumberFormat="1" applyFont="1"/>
    <xf numFmtId="165" fontId="56" fillId="0" borderId="0" xfId="0" applyNumberFormat="1" applyFont="1"/>
    <xf numFmtId="0" fontId="6" fillId="0" borderId="9" xfId="0" applyFont="1" applyBorder="1" applyAlignment="1">
      <alignment horizontal="left"/>
    </xf>
    <xf numFmtId="165" fontId="6" fillId="0" borderId="8" xfId="0" applyNumberFormat="1" applyFont="1" applyBorder="1" applyAlignment="1">
      <alignment vertical="center"/>
    </xf>
    <xf numFmtId="0" fontId="6" fillId="0" borderId="32" xfId="0" applyFont="1" applyBorder="1" applyAlignment="1">
      <alignment horizontal="left"/>
    </xf>
    <xf numFmtId="0" fontId="6" fillId="0" borderId="9" xfId="0" applyFont="1" applyBorder="1"/>
    <xf numFmtId="0" fontId="6" fillId="0" borderId="32" xfId="0" applyFont="1" applyBorder="1"/>
    <xf numFmtId="165" fontId="17" fillId="0" borderId="0" xfId="0" applyNumberFormat="1" applyFont="1"/>
    <xf numFmtId="0" fontId="15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center" wrapText="1"/>
    </xf>
    <xf numFmtId="0" fontId="36" fillId="0" borderId="8" xfId="0" applyFont="1" applyBorder="1" applyAlignment="1">
      <alignment horizontal="center"/>
    </xf>
    <xf numFmtId="0" fontId="3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165" fontId="15" fillId="0" borderId="8" xfId="0" applyNumberFormat="1" applyFont="1" applyBorder="1" applyAlignment="1">
      <alignment horizontal="right"/>
    </xf>
    <xf numFmtId="165" fontId="15" fillId="0" borderId="8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vertical="center"/>
    </xf>
    <xf numFmtId="0" fontId="6" fillId="0" borderId="8" xfId="0" applyFont="1" applyBorder="1" applyAlignment="1">
      <alignment vertical="center"/>
    </xf>
    <xf numFmtId="165" fontId="6" fillId="0" borderId="8" xfId="0" applyNumberFormat="1" applyFont="1" applyBorder="1"/>
    <xf numFmtId="165" fontId="36" fillId="0" borderId="8" xfId="0" applyNumberFormat="1" applyFont="1" applyBorder="1" applyAlignment="1">
      <alignment vertical="center"/>
    </xf>
    <xf numFmtId="165" fontId="6" fillId="0" borderId="8" xfId="0" applyNumberFormat="1" applyFont="1" applyBorder="1" applyAlignment="1">
      <alignment horizontal="right" vertical="center"/>
    </xf>
    <xf numFmtId="165" fontId="42" fillId="0" borderId="8" xfId="0" applyNumberFormat="1" applyFont="1" applyBorder="1" applyAlignment="1">
      <alignment vertical="center"/>
    </xf>
    <xf numFmtId="0" fontId="47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44" fillId="0" borderId="8" xfId="0" applyFont="1" applyBorder="1" applyAlignment="1">
      <alignment vertical="center"/>
    </xf>
    <xf numFmtId="165" fontId="44" fillId="0" borderId="8" xfId="0" applyNumberFormat="1" applyFont="1" applyBorder="1"/>
    <xf numFmtId="165" fontId="108" fillId="0" borderId="8" xfId="0" applyNumberFormat="1" applyFont="1" applyBorder="1" applyAlignment="1">
      <alignment vertical="center"/>
    </xf>
    <xf numFmtId="165" fontId="44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/>
    </xf>
    <xf numFmtId="0" fontId="6" fillId="0" borderId="8" xfId="0" applyFont="1" applyBorder="1" applyAlignment="1">
      <alignment wrapText="1"/>
    </xf>
    <xf numFmtId="165" fontId="42" fillId="0" borderId="8" xfId="0" applyNumberFormat="1" applyFont="1" applyBorder="1"/>
    <xf numFmtId="0" fontId="15" fillId="0" borderId="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5" fillId="0" borderId="8" xfId="0" applyFont="1" applyBorder="1" applyAlignment="1">
      <alignment horizontal="center" vertical="center"/>
    </xf>
    <xf numFmtId="165" fontId="42" fillId="0" borderId="0" xfId="0" applyNumberFormat="1" applyFont="1" applyAlignment="1">
      <alignment vertical="center"/>
    </xf>
    <xf numFmtId="0" fontId="6" fillId="0" borderId="8" xfId="0" applyFont="1" applyBorder="1"/>
    <xf numFmtId="0" fontId="15" fillId="0" borderId="8" xfId="0" applyFont="1" applyBorder="1" applyAlignment="1">
      <alignment vertical="center" wrapText="1"/>
    </xf>
    <xf numFmtId="0" fontId="40" fillId="0" borderId="0" xfId="0" applyFont="1" applyAlignment="1">
      <alignment vertical="center"/>
    </xf>
    <xf numFmtId="165" fontId="15" fillId="0" borderId="8" xfId="0" applyNumberFormat="1" applyFont="1" applyBorder="1" applyAlignment="1">
      <alignment horizontal="right" vertical="center" wrapText="1"/>
    </xf>
    <xf numFmtId="165" fontId="15" fillId="0" borderId="8" xfId="0" applyNumberFormat="1" applyFont="1" applyBorder="1"/>
    <xf numFmtId="0" fontId="6" fillId="0" borderId="8" xfId="0" applyFont="1" applyBorder="1" applyAlignment="1">
      <alignment vertical="top" wrapText="1"/>
    </xf>
    <xf numFmtId="49" fontId="9" fillId="0" borderId="0" xfId="0" applyNumberFormat="1" applyFont="1"/>
    <xf numFmtId="0" fontId="44" fillId="0" borderId="8" xfId="0" applyFont="1" applyBorder="1"/>
    <xf numFmtId="165" fontId="109" fillId="0" borderId="8" xfId="0" applyNumberFormat="1" applyFont="1" applyBorder="1" applyAlignment="1">
      <alignment horizontal="right" vertical="center"/>
    </xf>
    <xf numFmtId="165" fontId="47" fillId="0" borderId="0" xfId="0" applyNumberFormat="1" applyFont="1" applyAlignment="1">
      <alignment vertical="center"/>
    </xf>
    <xf numFmtId="165" fontId="82" fillId="0" borderId="8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wrapText="1"/>
    </xf>
    <xf numFmtId="165" fontId="6" fillId="0" borderId="10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vertical="center"/>
    </xf>
    <xf numFmtId="165" fontId="15" fillId="0" borderId="18" xfId="0" applyNumberFormat="1" applyFont="1" applyBorder="1" applyAlignment="1">
      <alignment horizontal="right" vertical="center"/>
    </xf>
    <xf numFmtId="165" fontId="82" fillId="0" borderId="8" xfId="0" applyNumberFormat="1" applyFont="1" applyBorder="1" applyAlignment="1">
      <alignment vertical="center"/>
    </xf>
    <xf numFmtId="167" fontId="9" fillId="0" borderId="8" xfId="0" applyNumberFormat="1" applyFont="1" applyBorder="1" applyAlignment="1">
      <alignment vertical="center"/>
    </xf>
    <xf numFmtId="165" fontId="82" fillId="0" borderId="8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left" wrapText="1"/>
    </xf>
    <xf numFmtId="167" fontId="7" fillId="0" borderId="8" xfId="0" applyNumberFormat="1" applyFont="1" applyBorder="1" applyAlignment="1">
      <alignment vertical="center"/>
    </xf>
    <xf numFmtId="16" fontId="0" fillId="0" borderId="0" xfId="0" applyNumberFormat="1"/>
    <xf numFmtId="17" fontId="1" fillId="0" borderId="0" xfId="0" applyNumberFormat="1" applyFont="1" applyAlignment="1">
      <alignment vertical="center"/>
    </xf>
    <xf numFmtId="49" fontId="0" fillId="0" borderId="0" xfId="0" applyNumberFormat="1"/>
    <xf numFmtId="165" fontId="15" fillId="0" borderId="14" xfId="0" applyNumberFormat="1" applyFont="1" applyBorder="1" applyAlignment="1">
      <alignment vertical="center"/>
    </xf>
    <xf numFmtId="165" fontId="6" fillId="0" borderId="14" xfId="0" applyNumberFormat="1" applyFont="1" applyBorder="1" applyAlignment="1">
      <alignment horizontal="right" vertical="center"/>
    </xf>
    <xf numFmtId="165" fontId="83" fillId="0" borderId="8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vertical="center"/>
    </xf>
    <xf numFmtId="165" fontId="82" fillId="0" borderId="8" xfId="0" applyNumberFormat="1" applyFont="1" applyBorder="1"/>
    <xf numFmtId="0" fontId="110" fillId="0" borderId="7" xfId="0" applyFont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165" fontId="40" fillId="0" borderId="0" xfId="0" applyNumberFormat="1" applyFont="1" applyAlignment="1">
      <alignment vertical="center"/>
    </xf>
    <xf numFmtId="0" fontId="37" fillId="0" borderId="15" xfId="0" applyFont="1" applyBorder="1" applyAlignment="1">
      <alignment vertical="center"/>
    </xf>
    <xf numFmtId="0" fontId="35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55" fillId="0" borderId="11" xfId="0" applyNumberFormat="1" applyFont="1" applyBorder="1" applyAlignment="1">
      <alignment vertical="center"/>
    </xf>
    <xf numFmtId="165" fontId="42" fillId="0" borderId="0" xfId="0" applyNumberFormat="1" applyFont="1" applyAlignment="1">
      <alignment horizontal="right"/>
    </xf>
    <xf numFmtId="165" fontId="44" fillId="0" borderId="0" xfId="0" applyNumberFormat="1" applyFont="1" applyAlignment="1">
      <alignment horizontal="right"/>
    </xf>
    <xf numFmtId="0" fontId="44" fillId="0" borderId="0" xfId="0" applyFont="1"/>
    <xf numFmtId="0" fontId="47" fillId="0" borderId="0" xfId="0" applyFont="1"/>
    <xf numFmtId="165" fontId="47" fillId="0" borderId="0" xfId="0" applyNumberFormat="1" applyFont="1"/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8" fillId="0" borderId="8" xfId="0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/>
    <xf numFmtId="165" fontId="7" fillId="0" borderId="8" xfId="0" applyNumberFormat="1" applyFont="1" applyBorder="1"/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left" wrapText="1"/>
    </xf>
    <xf numFmtId="4" fontId="7" fillId="0" borderId="8" xfId="0" applyNumberFormat="1" applyFont="1" applyBorder="1" applyAlignment="1">
      <alignment horizontal="left" vertical="center" wrapText="1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>
      <alignment horizontal="left" vertical="top" wrapText="1"/>
    </xf>
    <xf numFmtId="0" fontId="35" fillId="0" borderId="8" xfId="0" applyFont="1" applyBorder="1" applyAlignment="1">
      <alignment vertical="center" wrapText="1"/>
    </xf>
    <xf numFmtId="168" fontId="7" fillId="0" borderId="8" xfId="0" applyNumberFormat="1" applyFont="1" applyBorder="1" applyAlignment="1">
      <alignment vertical="center" wrapText="1"/>
    </xf>
    <xf numFmtId="168" fontId="7" fillId="0" borderId="8" xfId="0" applyNumberFormat="1" applyFont="1" applyBorder="1" applyAlignment="1">
      <alignment horizontal="right" vertical="center"/>
    </xf>
    <xf numFmtId="165" fontId="7" fillId="0" borderId="8" xfId="0" applyNumberFormat="1" applyFont="1" applyBorder="1" applyAlignment="1">
      <alignment horizontal="right" wrapText="1"/>
    </xf>
    <xf numFmtId="165" fontId="7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vertical="top" wrapText="1"/>
    </xf>
    <xf numFmtId="168" fontId="9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168" fontId="7" fillId="0" borderId="8" xfId="0" applyNumberFormat="1" applyFont="1" applyBorder="1" applyAlignment="1">
      <alignment vertical="center"/>
    </xf>
    <xf numFmtId="0" fontId="12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/>
    <xf numFmtId="0" fontId="16" fillId="0" borderId="1" xfId="0" applyFont="1" applyBorder="1"/>
    <xf numFmtId="165" fontId="77" fillId="0" borderId="1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 shrinkToFit="1"/>
    </xf>
    <xf numFmtId="2" fontId="58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2" fontId="19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164" fontId="58" fillId="0" borderId="0" xfId="0" applyNumberFormat="1" applyFont="1" applyAlignment="1">
      <alignment vertical="center"/>
    </xf>
    <xf numFmtId="166" fontId="5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5" fontId="60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9" fillId="0" borderId="8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165" fontId="14" fillId="0" borderId="0" xfId="0" applyNumberFormat="1" applyFont="1" applyAlignment="1">
      <alignment vertical="center"/>
    </xf>
    <xf numFmtId="164" fontId="6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vertical="center"/>
    </xf>
    <xf numFmtId="0" fontId="6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52" fillId="0" borderId="8" xfId="0" applyFont="1" applyBorder="1" applyAlignment="1">
      <alignment horizontal="center" vertical="center"/>
    </xf>
    <xf numFmtId="0" fontId="52" fillId="0" borderId="7" xfId="0" applyFont="1" applyBorder="1" applyAlignment="1">
      <alignment vertical="center" wrapText="1"/>
    </xf>
    <xf numFmtId="0" fontId="52" fillId="0" borderId="7" xfId="0" applyFont="1" applyBorder="1" applyAlignment="1">
      <alignment vertical="center"/>
    </xf>
    <xf numFmtId="0" fontId="65" fillId="0" borderId="7" xfId="0" applyFont="1" applyBorder="1" applyAlignment="1">
      <alignment vertical="center"/>
    </xf>
    <xf numFmtId="165" fontId="7" fillId="0" borderId="8" xfId="0" applyNumberFormat="1" applyFont="1" applyBorder="1" applyAlignment="1">
      <alignment horizontal="right" vertical="center"/>
    </xf>
    <xf numFmtId="165" fontId="9" fillId="0" borderId="14" xfId="0" applyNumberFormat="1" applyFont="1" applyBorder="1" applyAlignment="1">
      <alignment horizontal="right" vertical="center"/>
    </xf>
    <xf numFmtId="0" fontId="65" fillId="0" borderId="7" xfId="0" applyFont="1" applyBorder="1" applyAlignment="1">
      <alignment vertical="center" wrapText="1"/>
    </xf>
    <xf numFmtId="165" fontId="7" fillId="0" borderId="14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 shrinkToFit="1"/>
    </xf>
    <xf numFmtId="165" fontId="67" fillId="0" borderId="8" xfId="0" applyNumberFormat="1" applyFont="1" applyBorder="1" applyAlignment="1">
      <alignment horizontal="right" vertical="center" wrapText="1" shrinkToFit="1"/>
    </xf>
    <xf numFmtId="165" fontId="67" fillId="0" borderId="8" xfId="0" applyNumberFormat="1" applyFont="1" applyBorder="1" applyAlignment="1">
      <alignment horizontal="right" vertical="center" wrapText="1"/>
    </xf>
    <xf numFmtId="165" fontId="67" fillId="0" borderId="8" xfId="0" applyNumberFormat="1" applyFont="1" applyBorder="1"/>
    <xf numFmtId="165" fontId="67" fillId="0" borderId="8" xfId="0" applyNumberFormat="1" applyFont="1" applyBorder="1" applyAlignment="1">
      <alignment horizontal="right"/>
    </xf>
    <xf numFmtId="16" fontId="1" fillId="0" borderId="0" xfId="0" applyNumberFormat="1" applyFont="1"/>
    <xf numFmtId="17" fontId="1" fillId="0" borderId="0" xfId="0" applyNumberFormat="1" applyFont="1"/>
    <xf numFmtId="165" fontId="21" fillId="0" borderId="8" xfId="0" applyNumberFormat="1" applyFont="1" applyBorder="1" applyAlignment="1">
      <alignment horizontal="right"/>
    </xf>
    <xf numFmtId="165" fontId="21" fillId="0" borderId="8" xfId="0" applyNumberFormat="1" applyFont="1" applyBorder="1"/>
    <xf numFmtId="165" fontId="67" fillId="0" borderId="8" xfId="0" applyNumberFormat="1" applyFont="1" applyBorder="1" applyAlignment="1">
      <alignment horizontal="right" vertical="center"/>
    </xf>
    <xf numFmtId="165" fontId="67" fillId="0" borderId="8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/>
    </xf>
    <xf numFmtId="165" fontId="7" fillId="0" borderId="27" xfId="0" applyNumberFormat="1" applyFont="1" applyBorder="1"/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wrapText="1"/>
    </xf>
    <xf numFmtId="0" fontId="21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0" fontId="97" fillId="0" borderId="0" xfId="0" applyFont="1" applyAlignment="1">
      <alignment vertical="center" wrapText="1"/>
    </xf>
    <xf numFmtId="1" fontId="96" fillId="0" borderId="0" xfId="0" applyNumberFormat="1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81" fillId="0" borderId="8" xfId="0" applyFont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98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vertical="top" wrapText="1"/>
    </xf>
    <xf numFmtId="49" fontId="51" fillId="0" borderId="8" xfId="0" applyNumberFormat="1" applyFont="1" applyBorder="1" applyAlignment="1">
      <alignment horizontal="left" vertical="center" wrapText="1"/>
    </xf>
    <xf numFmtId="165" fontId="51" fillId="0" borderId="8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top"/>
    </xf>
    <xf numFmtId="165" fontId="98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81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51" fillId="0" borderId="8" xfId="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51" fillId="0" borderId="8" xfId="0" applyNumberFormat="1" applyFont="1" applyBorder="1" applyAlignment="1">
      <alignment horizontal="center" vertical="center"/>
    </xf>
    <xf numFmtId="0" fontId="9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1" fillId="0" borderId="8" xfId="0" applyFont="1" applyBorder="1" applyAlignment="1">
      <alignment horizontal="center" vertical="center"/>
    </xf>
    <xf numFmtId="165" fontId="111" fillId="0" borderId="0" xfId="0" applyNumberFormat="1" applyFont="1" applyAlignment="1">
      <alignment horizontal="left" vertical="center"/>
    </xf>
    <xf numFmtId="165" fontId="41" fillId="0" borderId="0" xfId="0" applyNumberFormat="1" applyFont="1" applyAlignment="1">
      <alignment horizontal="center" vertical="center"/>
    </xf>
    <xf numFmtId="49" fontId="51" fillId="0" borderId="8" xfId="0" applyNumberFormat="1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112" fillId="0" borderId="0" xfId="0" applyFont="1" applyAlignment="1">
      <alignment horizontal="left" vertical="center"/>
    </xf>
    <xf numFmtId="0" fontId="8" fillId="0" borderId="8" xfId="8" applyFont="1" applyBorder="1" applyAlignment="1">
      <alignment horizontal="left" vertical="top" wrapText="1"/>
    </xf>
    <xf numFmtId="1" fontId="111" fillId="0" borderId="0" xfId="0" applyNumberFormat="1" applyFont="1" applyAlignment="1">
      <alignment horizontal="left" vertical="center"/>
    </xf>
    <xf numFmtId="165" fontId="81" fillId="0" borderId="8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left" vertical="center"/>
    </xf>
    <xf numFmtId="0" fontId="8" fillId="0" borderId="15" xfId="0" applyFont="1" applyBorder="1"/>
    <xf numFmtId="165" fontId="99" fillId="0" borderId="0" xfId="0" applyNumberFormat="1" applyFont="1" applyAlignment="1">
      <alignment horizontal="center" vertical="center" wrapText="1"/>
    </xf>
    <xf numFmtId="0" fontId="9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65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8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165" fontId="7" fillId="0" borderId="18" xfId="0" applyNumberFormat="1" applyFont="1" applyBorder="1"/>
    <xf numFmtId="165" fontId="5" fillId="0" borderId="8" xfId="0" applyNumberFormat="1" applyFont="1" applyBorder="1"/>
    <xf numFmtId="0" fontId="9" fillId="0" borderId="8" xfId="0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wrapText="1"/>
    </xf>
    <xf numFmtId="165" fontId="69" fillId="0" borderId="8" xfId="0" applyNumberFormat="1" applyFont="1" applyBorder="1"/>
    <xf numFmtId="0" fontId="21" fillId="0" borderId="8" xfId="0" applyFont="1" applyBorder="1" applyAlignment="1">
      <alignment vertical="center" wrapText="1"/>
    </xf>
    <xf numFmtId="2" fontId="9" fillId="0" borderId="8" xfId="0" applyNumberFormat="1" applyFont="1" applyBorder="1" applyAlignment="1">
      <alignment vertical="center"/>
    </xf>
    <xf numFmtId="0" fontId="29" fillId="0" borderId="8" xfId="0" applyFont="1" applyBorder="1" applyAlignment="1">
      <alignment horizontal="center"/>
    </xf>
    <xf numFmtId="0" fontId="30" fillId="0" borderId="0" xfId="0" applyFont="1"/>
    <xf numFmtId="0" fontId="29" fillId="0" borderId="8" xfId="0" applyFont="1" applyBorder="1" applyAlignment="1">
      <alignment horizontal="left"/>
    </xf>
    <xf numFmtId="0" fontId="71" fillId="0" borderId="8" xfId="0" applyFont="1" applyBorder="1" applyAlignment="1">
      <alignment horizontal="center" vertical="top" wrapText="1"/>
    </xf>
    <xf numFmtId="0" fontId="9" fillId="0" borderId="14" xfId="0" applyFont="1" applyBorder="1" applyAlignment="1">
      <alignment vertical="top" wrapText="1"/>
    </xf>
    <xf numFmtId="0" fontId="30" fillId="0" borderId="0" xfId="0" applyFont="1" applyAlignment="1">
      <alignment vertical="center"/>
    </xf>
    <xf numFmtId="0" fontId="94" fillId="0" borderId="8" xfId="0" applyFont="1" applyBorder="1" applyAlignment="1">
      <alignment horizontal="left"/>
    </xf>
    <xf numFmtId="0" fontId="94" fillId="0" borderId="8" xfId="0" applyFont="1" applyBorder="1" applyAlignment="1">
      <alignment horizontal="right"/>
    </xf>
    <xf numFmtId="0" fontId="92" fillId="0" borderId="8" xfId="0" applyFont="1" applyBorder="1" applyAlignment="1">
      <alignment wrapText="1"/>
    </xf>
    <xf numFmtId="165" fontId="92" fillId="0" borderId="3" xfId="0" applyNumberFormat="1" applyFont="1" applyBorder="1"/>
    <xf numFmtId="165" fontId="92" fillId="0" borderId="8" xfId="0" applyNumberFormat="1" applyFont="1" applyBorder="1" applyAlignment="1">
      <alignment vertical="center"/>
    </xf>
    <xf numFmtId="165" fontId="30" fillId="0" borderId="0" xfId="0" applyNumberFormat="1" applyFont="1"/>
    <xf numFmtId="0" fontId="94" fillId="0" borderId="8" xfId="0" applyFont="1" applyBorder="1" applyAlignment="1">
      <alignment horizontal="center"/>
    </xf>
    <xf numFmtId="165" fontId="94" fillId="0" borderId="8" xfId="0" applyNumberFormat="1" applyFont="1" applyBorder="1"/>
    <xf numFmtId="0" fontId="21" fillId="0" borderId="8" xfId="0" applyFont="1" applyBorder="1" applyAlignment="1">
      <alignment wrapText="1"/>
    </xf>
    <xf numFmtId="0" fontId="21" fillId="0" borderId="8" xfId="0" applyFont="1" applyBorder="1" applyAlignment="1">
      <alignment horizontal="left"/>
    </xf>
    <xf numFmtId="165" fontId="70" fillId="0" borderId="8" xfId="0" applyNumberFormat="1" applyFont="1" applyBorder="1"/>
    <xf numFmtId="0" fontId="21" fillId="0" borderId="8" xfId="0" applyFont="1" applyBorder="1" applyAlignment="1">
      <alignment horizontal="left" wrapText="1"/>
    </xf>
    <xf numFmtId="0" fontId="24" fillId="0" borderId="0" xfId="0" applyFont="1"/>
    <xf numFmtId="0" fontId="20" fillId="0" borderId="15" xfId="0" applyFont="1" applyBorder="1"/>
    <xf numFmtId="0" fontId="72" fillId="0" borderId="15" xfId="0" applyFont="1" applyBorder="1"/>
    <xf numFmtId="0" fontId="73" fillId="0" borderId="0" xfId="0" applyFont="1"/>
    <xf numFmtId="0" fontId="9" fillId="0" borderId="0" xfId="0" applyFont="1" applyAlignment="1">
      <alignment horizontal="right" wrapText="1"/>
    </xf>
    <xf numFmtId="165" fontId="69" fillId="0" borderId="0" xfId="0" applyNumberFormat="1" applyFont="1"/>
    <xf numFmtId="165" fontId="68" fillId="0" borderId="0" xfId="0" applyNumberFormat="1" applyFont="1"/>
    <xf numFmtId="0" fontId="53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7" applyFont="1" applyAlignment="1">
      <alignment horizontal="center"/>
    </xf>
    <xf numFmtId="0" fontId="8" fillId="0" borderId="8" xfId="7" applyFont="1" applyBorder="1" applyAlignment="1">
      <alignment horizontal="center" vertical="center"/>
    </xf>
    <xf numFmtId="0" fontId="8" fillId="0" borderId="8" xfId="7" applyFont="1" applyBorder="1" applyAlignment="1">
      <alignment horizontal="center" vertical="center" wrapText="1"/>
    </xf>
    <xf numFmtId="0" fontId="8" fillId="0" borderId="8" xfId="7" applyFont="1" applyBorder="1" applyAlignment="1">
      <alignment horizontal="center"/>
    </xf>
    <xf numFmtId="0" fontId="8" fillId="0" borderId="8" xfId="7" applyFont="1" applyBorder="1"/>
    <xf numFmtId="0" fontId="8" fillId="0" borderId="8" xfId="7" applyFont="1" applyBorder="1" applyAlignment="1">
      <alignment vertical="center"/>
    </xf>
    <xf numFmtId="0" fontId="8" fillId="0" borderId="8" xfId="7" applyFont="1" applyBorder="1" applyAlignment="1">
      <alignment vertical="top"/>
    </xf>
    <xf numFmtId="3" fontId="8" fillId="0" borderId="8" xfId="7" applyNumberFormat="1" applyFont="1" applyBorder="1" applyAlignment="1">
      <alignment horizontal="center" vertical="center"/>
    </xf>
    <xf numFmtId="0" fontId="8" fillId="0" borderId="8" xfId="7" applyFont="1" applyBorder="1" applyAlignment="1">
      <alignment horizontal="justify" vertical="top" wrapText="1"/>
    </xf>
    <xf numFmtId="0" fontId="8" fillId="0" borderId="8" xfId="7" applyFont="1" applyBorder="1" applyAlignment="1">
      <alignment vertical="top" wrapText="1"/>
    </xf>
    <xf numFmtId="0" fontId="8" fillId="0" borderId="8" xfId="7" applyFont="1" applyBorder="1" applyAlignment="1">
      <alignment horizontal="left" vertical="top" wrapText="1"/>
    </xf>
    <xf numFmtId="0" fontId="4" fillId="0" borderId="8" xfId="7" applyFont="1" applyBorder="1" applyAlignment="1">
      <alignment horizontal="right" vertical="center" wrapText="1"/>
    </xf>
    <xf numFmtId="0" fontId="4" fillId="0" borderId="8" xfId="7" applyFont="1" applyBorder="1" applyAlignment="1">
      <alignment horizontal="center" vertical="center"/>
    </xf>
    <xf numFmtId="3" fontId="4" fillId="0" borderId="8" xfId="7" applyNumberFormat="1" applyFont="1" applyBorder="1" applyAlignment="1">
      <alignment horizontal="center" vertical="center"/>
    </xf>
    <xf numFmtId="3" fontId="4" fillId="0" borderId="0" xfId="7" applyNumberFormat="1" applyFont="1" applyAlignment="1">
      <alignment horizontal="center" vertical="center"/>
    </xf>
    <xf numFmtId="0" fontId="44" fillId="0" borderId="8" xfId="0" applyFont="1" applyBorder="1" applyAlignment="1">
      <alignment horizontal="left" vertical="center" wrapText="1"/>
    </xf>
    <xf numFmtId="4" fontId="6" fillId="0" borderId="8" xfId="0" applyNumberFormat="1" applyFont="1" applyBorder="1" applyAlignment="1">
      <alignment horizontal="left" vertical="top" wrapText="1"/>
    </xf>
    <xf numFmtId="4" fontId="6" fillId="0" borderId="8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65" fontId="84" fillId="0" borderId="8" xfId="0" applyNumberFormat="1" applyFont="1" applyBorder="1" applyAlignment="1">
      <alignment vertical="center"/>
    </xf>
    <xf numFmtId="165" fontId="85" fillId="0" borderId="8" xfId="0" applyNumberFormat="1" applyFont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0" fontId="97" fillId="0" borderId="0" xfId="0" applyFont="1" applyAlignment="1">
      <alignment horizontal="left" vertical="center"/>
    </xf>
    <xf numFmtId="0" fontId="6" fillId="0" borderId="6" xfId="0" applyFont="1" applyBorder="1" applyAlignment="1">
      <alignment wrapText="1"/>
    </xf>
    <xf numFmtId="165" fontId="32" fillId="0" borderId="8" xfId="0" applyNumberFormat="1" applyFont="1" applyBorder="1" applyAlignment="1">
      <alignment vertical="center"/>
    </xf>
    <xf numFmtId="167" fontId="7" fillId="0" borderId="8" xfId="0" applyNumberFormat="1" applyFont="1" applyBorder="1" applyAlignment="1">
      <alignment vertical="center" wrapText="1"/>
    </xf>
    <xf numFmtId="49" fontId="97" fillId="0" borderId="0" xfId="0" applyNumberFormat="1" applyFont="1" applyAlignment="1">
      <alignment vertical="center"/>
    </xf>
    <xf numFmtId="167" fontId="7" fillId="0" borderId="8" xfId="0" applyNumberFormat="1" applyFont="1" applyBorder="1" applyAlignment="1">
      <alignment horizontal="right" vertical="center"/>
    </xf>
    <xf numFmtId="0" fontId="32" fillId="0" borderId="8" xfId="0" applyFont="1" applyBorder="1" applyAlignment="1">
      <alignment horizontal="left" vertical="center" wrapText="1"/>
    </xf>
    <xf numFmtId="0" fontId="32" fillId="0" borderId="8" xfId="0" applyFont="1" applyBorder="1" applyAlignment="1">
      <alignment vertical="center" wrapText="1"/>
    </xf>
    <xf numFmtId="165" fontId="66" fillId="0" borderId="8" xfId="0" applyNumberFormat="1" applyFont="1" applyBorder="1" applyAlignment="1">
      <alignment vertical="center" wrapText="1"/>
    </xf>
    <xf numFmtId="165" fontId="66" fillId="0" borderId="8" xfId="0" applyNumberFormat="1" applyFont="1" applyBorder="1" applyAlignment="1">
      <alignment vertical="center"/>
    </xf>
    <xf numFmtId="0" fontId="4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65" fillId="0" borderId="8" xfId="0" applyFont="1" applyBorder="1" applyAlignment="1">
      <alignment horizontal="center" vertical="center" wrapText="1"/>
    </xf>
    <xf numFmtId="0" fontId="6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 shrinkToFit="1"/>
    </xf>
    <xf numFmtId="0" fontId="15" fillId="0" borderId="12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165" fontId="98" fillId="0" borderId="0" xfId="0" applyNumberFormat="1" applyFont="1" applyAlignment="1">
      <alignment horizontal="center" vertical="center" wrapText="1"/>
    </xf>
    <xf numFmtId="0" fontId="81" fillId="0" borderId="8" xfId="0" applyFont="1" applyBorder="1" applyAlignment="1">
      <alignment horizontal="left" vertical="center" wrapText="1"/>
    </xf>
    <xf numFmtId="0" fontId="81" fillId="0" borderId="7" xfId="0" applyFont="1" applyBorder="1" applyAlignment="1">
      <alignment horizontal="left" vertical="center" wrapText="1"/>
    </xf>
    <xf numFmtId="0" fontId="81" fillId="0" borderId="13" xfId="0" applyFont="1" applyBorder="1" applyAlignment="1">
      <alignment horizontal="left" vertical="center" wrapText="1"/>
    </xf>
    <xf numFmtId="0" fontId="81" fillId="0" borderId="18" xfId="0" applyFont="1" applyBorder="1" applyAlignment="1">
      <alignment horizontal="left" vertical="center" wrapText="1"/>
    </xf>
    <xf numFmtId="49" fontId="81" fillId="0" borderId="8" xfId="0" applyNumberFormat="1" applyFont="1" applyBorder="1" applyAlignment="1">
      <alignment horizontal="right" vertical="center"/>
    </xf>
    <xf numFmtId="165" fontId="81" fillId="0" borderId="8" xfId="0" applyNumberFormat="1" applyFont="1" applyBorder="1" applyAlignment="1">
      <alignment horizontal="center" vertical="center"/>
    </xf>
    <xf numFmtId="49" fontId="81" fillId="0" borderId="8" xfId="0" applyNumberFormat="1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right" vertical="center" wrapText="1"/>
    </xf>
    <xf numFmtId="165" fontId="4" fillId="0" borderId="8" xfId="0" applyNumberFormat="1" applyFont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81" fillId="0" borderId="8" xfId="0" applyFont="1" applyBorder="1" applyAlignment="1">
      <alignment horizontal="center" vertical="center" wrapText="1"/>
    </xf>
    <xf numFmtId="49" fontId="8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" fontId="41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3" fillId="0" borderId="24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93" fillId="0" borderId="7" xfId="0" applyFont="1" applyBorder="1" applyAlignment="1">
      <alignment horizontal="center"/>
    </xf>
    <xf numFmtId="0" fontId="93" fillId="0" borderId="18" xfId="0" applyFont="1" applyBorder="1" applyAlignment="1">
      <alignment horizontal="center"/>
    </xf>
    <xf numFmtId="0" fontId="33" fillId="0" borderId="7" xfId="0" applyFont="1" applyBorder="1" applyAlignment="1">
      <alignment horizont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wrapText="1"/>
    </xf>
    <xf numFmtId="0" fontId="43" fillId="0" borderId="18" xfId="0" applyFont="1" applyBorder="1" applyAlignment="1">
      <alignment horizontal="center" wrapText="1"/>
    </xf>
    <xf numFmtId="0" fontId="28" fillId="0" borderId="7" xfId="0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48" fillId="0" borderId="7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0" fontId="28" fillId="0" borderId="7" xfId="4" applyFont="1" applyBorder="1" applyAlignment="1">
      <alignment horizontal="center" vertical="center" wrapText="1"/>
    </xf>
    <xf numFmtId="0" fontId="28" fillId="0" borderId="18" xfId="4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8" fillId="0" borderId="8" xfId="7" applyFont="1" applyBorder="1" applyAlignment="1">
      <alignment horizontal="center" vertical="center" wrapText="1" shrinkToFit="1"/>
    </xf>
    <xf numFmtId="0" fontId="8" fillId="0" borderId="8" xfId="7" applyFont="1" applyBorder="1" applyAlignment="1">
      <alignment horizontal="center" vertical="center" shrinkToFit="1"/>
    </xf>
    <xf numFmtId="0" fontId="8" fillId="0" borderId="8" xfId="7" applyFont="1" applyBorder="1" applyAlignment="1">
      <alignment horizontal="center" vertical="center"/>
    </xf>
    <xf numFmtId="0" fontId="8" fillId="0" borderId="8" xfId="7" applyFont="1" applyBorder="1" applyAlignment="1">
      <alignment horizontal="justify" vertical="center"/>
    </xf>
    <xf numFmtId="0" fontId="8" fillId="0" borderId="8" xfId="7" applyFont="1" applyBorder="1" applyAlignment="1">
      <alignment horizontal="center" vertical="center" wrapText="1"/>
    </xf>
    <xf numFmtId="0" fontId="109" fillId="0" borderId="8" xfId="0" applyFont="1" applyBorder="1" applyAlignment="1">
      <alignment horizontal="center" vertical="center"/>
    </xf>
    <xf numFmtId="0" fontId="109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</cellXfs>
  <cellStyles count="9">
    <cellStyle name="Comma" xfId="1" builtinId="3"/>
    <cellStyle name="Comma 2" xfId="3" xr:uid="{AE879844-2E42-461A-A1AD-920BF7B37F56}"/>
    <cellStyle name="Comma 2 2" xfId="6" xr:uid="{FCAD913F-97ED-4308-9E11-49EAF3D0E8F3}"/>
    <cellStyle name="Įprastas 2" xfId="2" xr:uid="{684E44C1-0BCB-4B9E-A65E-998DCB905F2C}"/>
    <cellStyle name="Įprastas 2 2" xfId="8" xr:uid="{883442AB-B845-48A5-B5F6-5000FE4A9015}"/>
    <cellStyle name="Kablelis 2" xfId="5" xr:uid="{0C4B98A4-D269-4731-A472-7364C1F60C5E}"/>
    <cellStyle name="Normal" xfId="0" builtinId="0"/>
    <cellStyle name="Normal 2" xfId="4" xr:uid="{D50643DA-F6D8-49ED-84B5-8061C6580AFD}"/>
    <cellStyle name="Normal 3" xfId="7" xr:uid="{31060737-D6D5-4A54-9F29-D95DFEA54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9F79-581B-4AAB-92C3-E9B5D5ED5A2A}">
  <dimension ref="A1:R119"/>
  <sheetViews>
    <sheetView tabSelected="1" zoomScale="98" zoomScaleNormal="98" workbookViewId="0">
      <selection activeCell="F20" sqref="F20"/>
    </sheetView>
  </sheetViews>
  <sheetFormatPr defaultRowHeight="15" x14ac:dyDescent="0.25"/>
  <cols>
    <col min="1" max="1" width="4.42578125" style="1" customWidth="1"/>
    <col min="2" max="2" width="56.85546875" style="1" customWidth="1"/>
    <col min="3" max="3" width="15.28515625" style="31" customWidth="1"/>
    <col min="4" max="4" width="8.7109375" style="126" customWidth="1"/>
    <col min="5" max="5" width="8.85546875" style="126"/>
    <col min="6" max="6" width="9.7109375" style="79" bestFit="1" customWidth="1"/>
    <col min="7" max="7" width="9.42578125" style="1" customWidth="1"/>
    <col min="8" max="8" width="9.5703125" style="1" bestFit="1" customWidth="1"/>
    <col min="9" max="249" width="8.85546875" style="1"/>
    <col min="250" max="250" width="4.42578125" style="1" customWidth="1"/>
    <col min="251" max="251" width="56.85546875" style="1" customWidth="1"/>
    <col min="252" max="252" width="14.140625" style="1" customWidth="1"/>
    <col min="253" max="253" width="13.42578125" style="1" customWidth="1"/>
    <col min="254" max="254" width="7.42578125" style="1" customWidth="1"/>
    <col min="255" max="255" width="7.28515625" style="1" customWidth="1"/>
    <col min="256" max="256" width="7.42578125" style="1" customWidth="1"/>
    <col min="257" max="257" width="8.42578125" style="1" customWidth="1"/>
    <col min="258" max="258" width="10.42578125" style="1" bestFit="1" customWidth="1"/>
    <col min="259" max="505" width="8.85546875" style="1"/>
    <col min="506" max="506" width="4.42578125" style="1" customWidth="1"/>
    <col min="507" max="507" width="56.85546875" style="1" customWidth="1"/>
    <col min="508" max="508" width="14.140625" style="1" customWidth="1"/>
    <col min="509" max="509" width="13.42578125" style="1" customWidth="1"/>
    <col min="510" max="510" width="7.42578125" style="1" customWidth="1"/>
    <col min="511" max="511" width="7.28515625" style="1" customWidth="1"/>
    <col min="512" max="512" width="7.42578125" style="1" customWidth="1"/>
    <col min="513" max="513" width="8.42578125" style="1" customWidth="1"/>
    <col min="514" max="514" width="10.42578125" style="1" bestFit="1" customWidth="1"/>
    <col min="515" max="761" width="8.85546875" style="1"/>
    <col min="762" max="762" width="4.42578125" style="1" customWidth="1"/>
    <col min="763" max="763" width="56.85546875" style="1" customWidth="1"/>
    <col min="764" max="764" width="14.140625" style="1" customWidth="1"/>
    <col min="765" max="765" width="13.42578125" style="1" customWidth="1"/>
    <col min="766" max="766" width="7.42578125" style="1" customWidth="1"/>
    <col min="767" max="767" width="7.28515625" style="1" customWidth="1"/>
    <col min="768" max="768" width="7.42578125" style="1" customWidth="1"/>
    <col min="769" max="769" width="8.42578125" style="1" customWidth="1"/>
    <col min="770" max="770" width="10.42578125" style="1" bestFit="1" customWidth="1"/>
    <col min="771" max="1017" width="8.85546875" style="1"/>
    <col min="1018" max="1018" width="4.42578125" style="1" customWidth="1"/>
    <col min="1019" max="1019" width="56.85546875" style="1" customWidth="1"/>
    <col min="1020" max="1020" width="14.140625" style="1" customWidth="1"/>
    <col min="1021" max="1021" width="13.42578125" style="1" customWidth="1"/>
    <col min="1022" max="1022" width="7.42578125" style="1" customWidth="1"/>
    <col min="1023" max="1023" width="7.28515625" style="1" customWidth="1"/>
    <col min="1024" max="1024" width="7.42578125" style="1" customWidth="1"/>
    <col min="1025" max="1025" width="8.42578125" style="1" customWidth="1"/>
    <col min="1026" max="1026" width="10.42578125" style="1" bestFit="1" customWidth="1"/>
    <col min="1027" max="1273" width="8.85546875" style="1"/>
    <col min="1274" max="1274" width="4.42578125" style="1" customWidth="1"/>
    <col min="1275" max="1275" width="56.85546875" style="1" customWidth="1"/>
    <col min="1276" max="1276" width="14.140625" style="1" customWidth="1"/>
    <col min="1277" max="1277" width="13.42578125" style="1" customWidth="1"/>
    <col min="1278" max="1278" width="7.42578125" style="1" customWidth="1"/>
    <col min="1279" max="1279" width="7.28515625" style="1" customWidth="1"/>
    <col min="1280" max="1280" width="7.42578125" style="1" customWidth="1"/>
    <col min="1281" max="1281" width="8.42578125" style="1" customWidth="1"/>
    <col min="1282" max="1282" width="10.42578125" style="1" bestFit="1" customWidth="1"/>
    <col min="1283" max="1529" width="8.85546875" style="1"/>
    <col min="1530" max="1530" width="4.42578125" style="1" customWidth="1"/>
    <col min="1531" max="1531" width="56.85546875" style="1" customWidth="1"/>
    <col min="1532" max="1532" width="14.140625" style="1" customWidth="1"/>
    <col min="1533" max="1533" width="13.42578125" style="1" customWidth="1"/>
    <col min="1534" max="1534" width="7.42578125" style="1" customWidth="1"/>
    <col min="1535" max="1535" width="7.28515625" style="1" customWidth="1"/>
    <col min="1536" max="1536" width="7.42578125" style="1" customWidth="1"/>
    <col min="1537" max="1537" width="8.42578125" style="1" customWidth="1"/>
    <col min="1538" max="1538" width="10.42578125" style="1" bestFit="1" customWidth="1"/>
    <col min="1539" max="1785" width="8.85546875" style="1"/>
    <col min="1786" max="1786" width="4.42578125" style="1" customWidth="1"/>
    <col min="1787" max="1787" width="56.85546875" style="1" customWidth="1"/>
    <col min="1788" max="1788" width="14.140625" style="1" customWidth="1"/>
    <col min="1789" max="1789" width="13.42578125" style="1" customWidth="1"/>
    <col min="1790" max="1790" width="7.42578125" style="1" customWidth="1"/>
    <col min="1791" max="1791" width="7.28515625" style="1" customWidth="1"/>
    <col min="1792" max="1792" width="7.42578125" style="1" customWidth="1"/>
    <col min="1793" max="1793" width="8.42578125" style="1" customWidth="1"/>
    <col min="1794" max="1794" width="10.42578125" style="1" bestFit="1" customWidth="1"/>
    <col min="1795" max="2041" width="8.85546875" style="1"/>
    <col min="2042" max="2042" width="4.42578125" style="1" customWidth="1"/>
    <col min="2043" max="2043" width="56.85546875" style="1" customWidth="1"/>
    <col min="2044" max="2044" width="14.140625" style="1" customWidth="1"/>
    <col min="2045" max="2045" width="13.42578125" style="1" customWidth="1"/>
    <col min="2046" max="2046" width="7.42578125" style="1" customWidth="1"/>
    <col min="2047" max="2047" width="7.28515625" style="1" customWidth="1"/>
    <col min="2048" max="2048" width="7.42578125" style="1" customWidth="1"/>
    <col min="2049" max="2049" width="8.42578125" style="1" customWidth="1"/>
    <col min="2050" max="2050" width="10.42578125" style="1" bestFit="1" customWidth="1"/>
    <col min="2051" max="2297" width="8.85546875" style="1"/>
    <col min="2298" max="2298" width="4.42578125" style="1" customWidth="1"/>
    <col min="2299" max="2299" width="56.85546875" style="1" customWidth="1"/>
    <col min="2300" max="2300" width="14.140625" style="1" customWidth="1"/>
    <col min="2301" max="2301" width="13.42578125" style="1" customWidth="1"/>
    <col min="2302" max="2302" width="7.42578125" style="1" customWidth="1"/>
    <col min="2303" max="2303" width="7.28515625" style="1" customWidth="1"/>
    <col min="2304" max="2304" width="7.42578125" style="1" customWidth="1"/>
    <col min="2305" max="2305" width="8.42578125" style="1" customWidth="1"/>
    <col min="2306" max="2306" width="10.42578125" style="1" bestFit="1" customWidth="1"/>
    <col min="2307" max="2553" width="8.85546875" style="1"/>
    <col min="2554" max="2554" width="4.42578125" style="1" customWidth="1"/>
    <col min="2555" max="2555" width="56.85546875" style="1" customWidth="1"/>
    <col min="2556" max="2556" width="14.140625" style="1" customWidth="1"/>
    <col min="2557" max="2557" width="13.42578125" style="1" customWidth="1"/>
    <col min="2558" max="2558" width="7.42578125" style="1" customWidth="1"/>
    <col min="2559" max="2559" width="7.28515625" style="1" customWidth="1"/>
    <col min="2560" max="2560" width="7.42578125" style="1" customWidth="1"/>
    <col min="2561" max="2561" width="8.42578125" style="1" customWidth="1"/>
    <col min="2562" max="2562" width="10.42578125" style="1" bestFit="1" customWidth="1"/>
    <col min="2563" max="2809" width="8.85546875" style="1"/>
    <col min="2810" max="2810" width="4.42578125" style="1" customWidth="1"/>
    <col min="2811" max="2811" width="56.85546875" style="1" customWidth="1"/>
    <col min="2812" max="2812" width="14.140625" style="1" customWidth="1"/>
    <col min="2813" max="2813" width="13.42578125" style="1" customWidth="1"/>
    <col min="2814" max="2814" width="7.42578125" style="1" customWidth="1"/>
    <col min="2815" max="2815" width="7.28515625" style="1" customWidth="1"/>
    <col min="2816" max="2816" width="7.42578125" style="1" customWidth="1"/>
    <col min="2817" max="2817" width="8.42578125" style="1" customWidth="1"/>
    <col min="2818" max="2818" width="10.42578125" style="1" bestFit="1" customWidth="1"/>
    <col min="2819" max="3065" width="8.85546875" style="1"/>
    <col min="3066" max="3066" width="4.42578125" style="1" customWidth="1"/>
    <col min="3067" max="3067" width="56.85546875" style="1" customWidth="1"/>
    <col min="3068" max="3068" width="14.140625" style="1" customWidth="1"/>
    <col min="3069" max="3069" width="13.42578125" style="1" customWidth="1"/>
    <col min="3070" max="3070" width="7.42578125" style="1" customWidth="1"/>
    <col min="3071" max="3071" width="7.28515625" style="1" customWidth="1"/>
    <col min="3072" max="3072" width="7.42578125" style="1" customWidth="1"/>
    <col min="3073" max="3073" width="8.42578125" style="1" customWidth="1"/>
    <col min="3074" max="3074" width="10.42578125" style="1" bestFit="1" customWidth="1"/>
    <col min="3075" max="3321" width="8.85546875" style="1"/>
    <col min="3322" max="3322" width="4.42578125" style="1" customWidth="1"/>
    <col min="3323" max="3323" width="56.85546875" style="1" customWidth="1"/>
    <col min="3324" max="3324" width="14.140625" style="1" customWidth="1"/>
    <col min="3325" max="3325" width="13.42578125" style="1" customWidth="1"/>
    <col min="3326" max="3326" width="7.42578125" style="1" customWidth="1"/>
    <col min="3327" max="3327" width="7.28515625" style="1" customWidth="1"/>
    <col min="3328" max="3328" width="7.42578125" style="1" customWidth="1"/>
    <col min="3329" max="3329" width="8.42578125" style="1" customWidth="1"/>
    <col min="3330" max="3330" width="10.42578125" style="1" bestFit="1" customWidth="1"/>
    <col min="3331" max="3577" width="8.85546875" style="1"/>
    <col min="3578" max="3578" width="4.42578125" style="1" customWidth="1"/>
    <col min="3579" max="3579" width="56.85546875" style="1" customWidth="1"/>
    <col min="3580" max="3580" width="14.140625" style="1" customWidth="1"/>
    <col min="3581" max="3581" width="13.42578125" style="1" customWidth="1"/>
    <col min="3582" max="3582" width="7.42578125" style="1" customWidth="1"/>
    <col min="3583" max="3583" width="7.28515625" style="1" customWidth="1"/>
    <col min="3584" max="3584" width="7.42578125" style="1" customWidth="1"/>
    <col min="3585" max="3585" width="8.42578125" style="1" customWidth="1"/>
    <col min="3586" max="3586" width="10.42578125" style="1" bestFit="1" customWidth="1"/>
    <col min="3587" max="3833" width="8.85546875" style="1"/>
    <col min="3834" max="3834" width="4.42578125" style="1" customWidth="1"/>
    <col min="3835" max="3835" width="56.85546875" style="1" customWidth="1"/>
    <col min="3836" max="3836" width="14.140625" style="1" customWidth="1"/>
    <col min="3837" max="3837" width="13.42578125" style="1" customWidth="1"/>
    <col min="3838" max="3838" width="7.42578125" style="1" customWidth="1"/>
    <col min="3839" max="3839" width="7.28515625" style="1" customWidth="1"/>
    <col min="3840" max="3840" width="7.42578125" style="1" customWidth="1"/>
    <col min="3841" max="3841" width="8.42578125" style="1" customWidth="1"/>
    <col min="3842" max="3842" width="10.42578125" style="1" bestFit="1" customWidth="1"/>
    <col min="3843" max="4089" width="8.85546875" style="1"/>
    <col min="4090" max="4090" width="4.42578125" style="1" customWidth="1"/>
    <col min="4091" max="4091" width="56.85546875" style="1" customWidth="1"/>
    <col min="4092" max="4092" width="14.140625" style="1" customWidth="1"/>
    <col min="4093" max="4093" width="13.42578125" style="1" customWidth="1"/>
    <col min="4094" max="4094" width="7.42578125" style="1" customWidth="1"/>
    <col min="4095" max="4095" width="7.28515625" style="1" customWidth="1"/>
    <col min="4096" max="4096" width="7.42578125" style="1" customWidth="1"/>
    <col min="4097" max="4097" width="8.42578125" style="1" customWidth="1"/>
    <col min="4098" max="4098" width="10.42578125" style="1" bestFit="1" customWidth="1"/>
    <col min="4099" max="4345" width="8.85546875" style="1"/>
    <col min="4346" max="4346" width="4.42578125" style="1" customWidth="1"/>
    <col min="4347" max="4347" width="56.85546875" style="1" customWidth="1"/>
    <col min="4348" max="4348" width="14.140625" style="1" customWidth="1"/>
    <col min="4349" max="4349" width="13.42578125" style="1" customWidth="1"/>
    <col min="4350" max="4350" width="7.42578125" style="1" customWidth="1"/>
    <col min="4351" max="4351" width="7.28515625" style="1" customWidth="1"/>
    <col min="4352" max="4352" width="7.42578125" style="1" customWidth="1"/>
    <col min="4353" max="4353" width="8.42578125" style="1" customWidth="1"/>
    <col min="4354" max="4354" width="10.42578125" style="1" bestFit="1" customWidth="1"/>
    <col min="4355" max="4601" width="8.85546875" style="1"/>
    <col min="4602" max="4602" width="4.42578125" style="1" customWidth="1"/>
    <col min="4603" max="4603" width="56.85546875" style="1" customWidth="1"/>
    <col min="4604" max="4604" width="14.140625" style="1" customWidth="1"/>
    <col min="4605" max="4605" width="13.42578125" style="1" customWidth="1"/>
    <col min="4606" max="4606" width="7.42578125" style="1" customWidth="1"/>
    <col min="4607" max="4607" width="7.28515625" style="1" customWidth="1"/>
    <col min="4608" max="4608" width="7.42578125" style="1" customWidth="1"/>
    <col min="4609" max="4609" width="8.42578125" style="1" customWidth="1"/>
    <col min="4610" max="4610" width="10.42578125" style="1" bestFit="1" customWidth="1"/>
    <col min="4611" max="4857" width="8.85546875" style="1"/>
    <col min="4858" max="4858" width="4.42578125" style="1" customWidth="1"/>
    <col min="4859" max="4859" width="56.85546875" style="1" customWidth="1"/>
    <col min="4860" max="4860" width="14.140625" style="1" customWidth="1"/>
    <col min="4861" max="4861" width="13.42578125" style="1" customWidth="1"/>
    <col min="4862" max="4862" width="7.42578125" style="1" customWidth="1"/>
    <col min="4863" max="4863" width="7.28515625" style="1" customWidth="1"/>
    <col min="4864" max="4864" width="7.42578125" style="1" customWidth="1"/>
    <col min="4865" max="4865" width="8.42578125" style="1" customWidth="1"/>
    <col min="4866" max="4866" width="10.42578125" style="1" bestFit="1" customWidth="1"/>
    <col min="4867" max="5113" width="8.85546875" style="1"/>
    <col min="5114" max="5114" width="4.42578125" style="1" customWidth="1"/>
    <col min="5115" max="5115" width="56.85546875" style="1" customWidth="1"/>
    <col min="5116" max="5116" width="14.140625" style="1" customWidth="1"/>
    <col min="5117" max="5117" width="13.42578125" style="1" customWidth="1"/>
    <col min="5118" max="5118" width="7.42578125" style="1" customWidth="1"/>
    <col min="5119" max="5119" width="7.28515625" style="1" customWidth="1"/>
    <col min="5120" max="5120" width="7.42578125" style="1" customWidth="1"/>
    <col min="5121" max="5121" width="8.42578125" style="1" customWidth="1"/>
    <col min="5122" max="5122" width="10.42578125" style="1" bestFit="1" customWidth="1"/>
    <col min="5123" max="5369" width="8.85546875" style="1"/>
    <col min="5370" max="5370" width="4.42578125" style="1" customWidth="1"/>
    <col min="5371" max="5371" width="56.85546875" style="1" customWidth="1"/>
    <col min="5372" max="5372" width="14.140625" style="1" customWidth="1"/>
    <col min="5373" max="5373" width="13.42578125" style="1" customWidth="1"/>
    <col min="5374" max="5374" width="7.42578125" style="1" customWidth="1"/>
    <col min="5375" max="5375" width="7.28515625" style="1" customWidth="1"/>
    <col min="5376" max="5376" width="7.42578125" style="1" customWidth="1"/>
    <col min="5377" max="5377" width="8.42578125" style="1" customWidth="1"/>
    <col min="5378" max="5378" width="10.42578125" style="1" bestFit="1" customWidth="1"/>
    <col min="5379" max="5625" width="8.85546875" style="1"/>
    <col min="5626" max="5626" width="4.42578125" style="1" customWidth="1"/>
    <col min="5627" max="5627" width="56.85546875" style="1" customWidth="1"/>
    <col min="5628" max="5628" width="14.140625" style="1" customWidth="1"/>
    <col min="5629" max="5629" width="13.42578125" style="1" customWidth="1"/>
    <col min="5630" max="5630" width="7.42578125" style="1" customWidth="1"/>
    <col min="5631" max="5631" width="7.28515625" style="1" customWidth="1"/>
    <col min="5632" max="5632" width="7.42578125" style="1" customWidth="1"/>
    <col min="5633" max="5633" width="8.42578125" style="1" customWidth="1"/>
    <col min="5634" max="5634" width="10.42578125" style="1" bestFit="1" customWidth="1"/>
    <col min="5635" max="5881" width="8.85546875" style="1"/>
    <col min="5882" max="5882" width="4.42578125" style="1" customWidth="1"/>
    <col min="5883" max="5883" width="56.85546875" style="1" customWidth="1"/>
    <col min="5884" max="5884" width="14.140625" style="1" customWidth="1"/>
    <col min="5885" max="5885" width="13.42578125" style="1" customWidth="1"/>
    <col min="5886" max="5886" width="7.42578125" style="1" customWidth="1"/>
    <col min="5887" max="5887" width="7.28515625" style="1" customWidth="1"/>
    <col min="5888" max="5888" width="7.42578125" style="1" customWidth="1"/>
    <col min="5889" max="5889" width="8.42578125" style="1" customWidth="1"/>
    <col min="5890" max="5890" width="10.42578125" style="1" bestFit="1" customWidth="1"/>
    <col min="5891" max="6137" width="8.85546875" style="1"/>
    <col min="6138" max="6138" width="4.42578125" style="1" customWidth="1"/>
    <col min="6139" max="6139" width="56.85546875" style="1" customWidth="1"/>
    <col min="6140" max="6140" width="14.140625" style="1" customWidth="1"/>
    <col min="6141" max="6141" width="13.42578125" style="1" customWidth="1"/>
    <col min="6142" max="6142" width="7.42578125" style="1" customWidth="1"/>
    <col min="6143" max="6143" width="7.28515625" style="1" customWidth="1"/>
    <col min="6144" max="6144" width="7.42578125" style="1" customWidth="1"/>
    <col min="6145" max="6145" width="8.42578125" style="1" customWidth="1"/>
    <col min="6146" max="6146" width="10.42578125" style="1" bestFit="1" customWidth="1"/>
    <col min="6147" max="6393" width="8.85546875" style="1"/>
    <col min="6394" max="6394" width="4.42578125" style="1" customWidth="1"/>
    <col min="6395" max="6395" width="56.85546875" style="1" customWidth="1"/>
    <col min="6396" max="6396" width="14.140625" style="1" customWidth="1"/>
    <col min="6397" max="6397" width="13.42578125" style="1" customWidth="1"/>
    <col min="6398" max="6398" width="7.42578125" style="1" customWidth="1"/>
    <col min="6399" max="6399" width="7.28515625" style="1" customWidth="1"/>
    <col min="6400" max="6400" width="7.42578125" style="1" customWidth="1"/>
    <col min="6401" max="6401" width="8.42578125" style="1" customWidth="1"/>
    <col min="6402" max="6402" width="10.42578125" style="1" bestFit="1" customWidth="1"/>
    <col min="6403" max="6649" width="8.85546875" style="1"/>
    <col min="6650" max="6650" width="4.42578125" style="1" customWidth="1"/>
    <col min="6651" max="6651" width="56.85546875" style="1" customWidth="1"/>
    <col min="6652" max="6652" width="14.140625" style="1" customWidth="1"/>
    <col min="6653" max="6653" width="13.42578125" style="1" customWidth="1"/>
    <col min="6654" max="6654" width="7.42578125" style="1" customWidth="1"/>
    <col min="6655" max="6655" width="7.28515625" style="1" customWidth="1"/>
    <col min="6656" max="6656" width="7.42578125" style="1" customWidth="1"/>
    <col min="6657" max="6657" width="8.42578125" style="1" customWidth="1"/>
    <col min="6658" max="6658" width="10.42578125" style="1" bestFit="1" customWidth="1"/>
    <col min="6659" max="6905" width="8.85546875" style="1"/>
    <col min="6906" max="6906" width="4.42578125" style="1" customWidth="1"/>
    <col min="6907" max="6907" width="56.85546875" style="1" customWidth="1"/>
    <col min="6908" max="6908" width="14.140625" style="1" customWidth="1"/>
    <col min="6909" max="6909" width="13.42578125" style="1" customWidth="1"/>
    <col min="6910" max="6910" width="7.42578125" style="1" customWidth="1"/>
    <col min="6911" max="6911" width="7.28515625" style="1" customWidth="1"/>
    <col min="6912" max="6912" width="7.42578125" style="1" customWidth="1"/>
    <col min="6913" max="6913" width="8.42578125" style="1" customWidth="1"/>
    <col min="6914" max="6914" width="10.42578125" style="1" bestFit="1" customWidth="1"/>
    <col min="6915" max="7161" width="8.85546875" style="1"/>
    <col min="7162" max="7162" width="4.42578125" style="1" customWidth="1"/>
    <col min="7163" max="7163" width="56.85546875" style="1" customWidth="1"/>
    <col min="7164" max="7164" width="14.140625" style="1" customWidth="1"/>
    <col min="7165" max="7165" width="13.42578125" style="1" customWidth="1"/>
    <col min="7166" max="7166" width="7.42578125" style="1" customWidth="1"/>
    <col min="7167" max="7167" width="7.28515625" style="1" customWidth="1"/>
    <col min="7168" max="7168" width="7.42578125" style="1" customWidth="1"/>
    <col min="7169" max="7169" width="8.42578125" style="1" customWidth="1"/>
    <col min="7170" max="7170" width="10.42578125" style="1" bestFit="1" customWidth="1"/>
    <col min="7171" max="7417" width="8.85546875" style="1"/>
    <col min="7418" max="7418" width="4.42578125" style="1" customWidth="1"/>
    <col min="7419" max="7419" width="56.85546875" style="1" customWidth="1"/>
    <col min="7420" max="7420" width="14.140625" style="1" customWidth="1"/>
    <col min="7421" max="7421" width="13.42578125" style="1" customWidth="1"/>
    <col min="7422" max="7422" width="7.42578125" style="1" customWidth="1"/>
    <col min="7423" max="7423" width="7.28515625" style="1" customWidth="1"/>
    <col min="7424" max="7424" width="7.42578125" style="1" customWidth="1"/>
    <col min="7425" max="7425" width="8.42578125" style="1" customWidth="1"/>
    <col min="7426" max="7426" width="10.42578125" style="1" bestFit="1" customWidth="1"/>
    <col min="7427" max="7673" width="8.85546875" style="1"/>
    <col min="7674" max="7674" width="4.42578125" style="1" customWidth="1"/>
    <col min="7675" max="7675" width="56.85546875" style="1" customWidth="1"/>
    <col min="7676" max="7676" width="14.140625" style="1" customWidth="1"/>
    <col min="7677" max="7677" width="13.42578125" style="1" customWidth="1"/>
    <col min="7678" max="7678" width="7.42578125" style="1" customWidth="1"/>
    <col min="7679" max="7679" width="7.28515625" style="1" customWidth="1"/>
    <col min="7680" max="7680" width="7.42578125" style="1" customWidth="1"/>
    <col min="7681" max="7681" width="8.42578125" style="1" customWidth="1"/>
    <col min="7682" max="7682" width="10.42578125" style="1" bestFit="1" customWidth="1"/>
    <col min="7683" max="7929" width="8.85546875" style="1"/>
    <col min="7930" max="7930" width="4.42578125" style="1" customWidth="1"/>
    <col min="7931" max="7931" width="56.85546875" style="1" customWidth="1"/>
    <col min="7932" max="7932" width="14.140625" style="1" customWidth="1"/>
    <col min="7933" max="7933" width="13.42578125" style="1" customWidth="1"/>
    <col min="7934" max="7934" width="7.42578125" style="1" customWidth="1"/>
    <col min="7935" max="7935" width="7.28515625" style="1" customWidth="1"/>
    <col min="7936" max="7936" width="7.42578125" style="1" customWidth="1"/>
    <col min="7937" max="7937" width="8.42578125" style="1" customWidth="1"/>
    <col min="7938" max="7938" width="10.42578125" style="1" bestFit="1" customWidth="1"/>
    <col min="7939" max="8185" width="8.85546875" style="1"/>
    <col min="8186" max="8186" width="4.42578125" style="1" customWidth="1"/>
    <col min="8187" max="8187" width="56.85546875" style="1" customWidth="1"/>
    <col min="8188" max="8188" width="14.140625" style="1" customWidth="1"/>
    <col min="8189" max="8189" width="13.42578125" style="1" customWidth="1"/>
    <col min="8190" max="8190" width="7.42578125" style="1" customWidth="1"/>
    <col min="8191" max="8191" width="7.28515625" style="1" customWidth="1"/>
    <col min="8192" max="8192" width="7.42578125" style="1" customWidth="1"/>
    <col min="8193" max="8193" width="8.42578125" style="1" customWidth="1"/>
    <col min="8194" max="8194" width="10.42578125" style="1" bestFit="1" customWidth="1"/>
    <col min="8195" max="8441" width="8.85546875" style="1"/>
    <col min="8442" max="8442" width="4.42578125" style="1" customWidth="1"/>
    <col min="8443" max="8443" width="56.85546875" style="1" customWidth="1"/>
    <col min="8444" max="8444" width="14.140625" style="1" customWidth="1"/>
    <col min="8445" max="8445" width="13.42578125" style="1" customWidth="1"/>
    <col min="8446" max="8446" width="7.42578125" style="1" customWidth="1"/>
    <col min="8447" max="8447" width="7.28515625" style="1" customWidth="1"/>
    <col min="8448" max="8448" width="7.42578125" style="1" customWidth="1"/>
    <col min="8449" max="8449" width="8.42578125" style="1" customWidth="1"/>
    <col min="8450" max="8450" width="10.42578125" style="1" bestFit="1" customWidth="1"/>
    <col min="8451" max="8697" width="8.85546875" style="1"/>
    <col min="8698" max="8698" width="4.42578125" style="1" customWidth="1"/>
    <col min="8699" max="8699" width="56.85546875" style="1" customWidth="1"/>
    <col min="8700" max="8700" width="14.140625" style="1" customWidth="1"/>
    <col min="8701" max="8701" width="13.42578125" style="1" customWidth="1"/>
    <col min="8702" max="8702" width="7.42578125" style="1" customWidth="1"/>
    <col min="8703" max="8703" width="7.28515625" style="1" customWidth="1"/>
    <col min="8704" max="8704" width="7.42578125" style="1" customWidth="1"/>
    <col min="8705" max="8705" width="8.42578125" style="1" customWidth="1"/>
    <col min="8706" max="8706" width="10.42578125" style="1" bestFit="1" customWidth="1"/>
    <col min="8707" max="8953" width="8.85546875" style="1"/>
    <col min="8954" max="8954" width="4.42578125" style="1" customWidth="1"/>
    <col min="8955" max="8955" width="56.85546875" style="1" customWidth="1"/>
    <col min="8956" max="8956" width="14.140625" style="1" customWidth="1"/>
    <col min="8957" max="8957" width="13.42578125" style="1" customWidth="1"/>
    <col min="8958" max="8958" width="7.42578125" style="1" customWidth="1"/>
    <col min="8959" max="8959" width="7.28515625" style="1" customWidth="1"/>
    <col min="8960" max="8960" width="7.42578125" style="1" customWidth="1"/>
    <col min="8961" max="8961" width="8.42578125" style="1" customWidth="1"/>
    <col min="8962" max="8962" width="10.42578125" style="1" bestFit="1" customWidth="1"/>
    <col min="8963" max="9209" width="8.85546875" style="1"/>
    <col min="9210" max="9210" width="4.42578125" style="1" customWidth="1"/>
    <col min="9211" max="9211" width="56.85546875" style="1" customWidth="1"/>
    <col min="9212" max="9212" width="14.140625" style="1" customWidth="1"/>
    <col min="9213" max="9213" width="13.42578125" style="1" customWidth="1"/>
    <col min="9214" max="9214" width="7.42578125" style="1" customWidth="1"/>
    <col min="9215" max="9215" width="7.28515625" style="1" customWidth="1"/>
    <col min="9216" max="9216" width="7.42578125" style="1" customWidth="1"/>
    <col min="9217" max="9217" width="8.42578125" style="1" customWidth="1"/>
    <col min="9218" max="9218" width="10.42578125" style="1" bestFit="1" customWidth="1"/>
    <col min="9219" max="9465" width="8.85546875" style="1"/>
    <col min="9466" max="9466" width="4.42578125" style="1" customWidth="1"/>
    <col min="9467" max="9467" width="56.85546875" style="1" customWidth="1"/>
    <col min="9468" max="9468" width="14.140625" style="1" customWidth="1"/>
    <col min="9469" max="9469" width="13.42578125" style="1" customWidth="1"/>
    <col min="9470" max="9470" width="7.42578125" style="1" customWidth="1"/>
    <col min="9471" max="9471" width="7.28515625" style="1" customWidth="1"/>
    <col min="9472" max="9472" width="7.42578125" style="1" customWidth="1"/>
    <col min="9473" max="9473" width="8.42578125" style="1" customWidth="1"/>
    <col min="9474" max="9474" width="10.42578125" style="1" bestFit="1" customWidth="1"/>
    <col min="9475" max="9721" width="8.85546875" style="1"/>
    <col min="9722" max="9722" width="4.42578125" style="1" customWidth="1"/>
    <col min="9723" max="9723" width="56.85546875" style="1" customWidth="1"/>
    <col min="9724" max="9724" width="14.140625" style="1" customWidth="1"/>
    <col min="9725" max="9725" width="13.42578125" style="1" customWidth="1"/>
    <col min="9726" max="9726" width="7.42578125" style="1" customWidth="1"/>
    <col min="9727" max="9727" width="7.28515625" style="1" customWidth="1"/>
    <col min="9728" max="9728" width="7.42578125" style="1" customWidth="1"/>
    <col min="9729" max="9729" width="8.42578125" style="1" customWidth="1"/>
    <col min="9730" max="9730" width="10.42578125" style="1" bestFit="1" customWidth="1"/>
    <col min="9731" max="9977" width="8.85546875" style="1"/>
    <col min="9978" max="9978" width="4.42578125" style="1" customWidth="1"/>
    <col min="9979" max="9979" width="56.85546875" style="1" customWidth="1"/>
    <col min="9980" max="9980" width="14.140625" style="1" customWidth="1"/>
    <col min="9981" max="9981" width="13.42578125" style="1" customWidth="1"/>
    <col min="9982" max="9982" width="7.42578125" style="1" customWidth="1"/>
    <col min="9983" max="9983" width="7.28515625" style="1" customWidth="1"/>
    <col min="9984" max="9984" width="7.42578125" style="1" customWidth="1"/>
    <col min="9985" max="9985" width="8.42578125" style="1" customWidth="1"/>
    <col min="9986" max="9986" width="10.42578125" style="1" bestFit="1" customWidth="1"/>
    <col min="9987" max="10233" width="8.85546875" style="1"/>
    <col min="10234" max="10234" width="4.42578125" style="1" customWidth="1"/>
    <col min="10235" max="10235" width="56.85546875" style="1" customWidth="1"/>
    <col min="10236" max="10236" width="14.140625" style="1" customWidth="1"/>
    <col min="10237" max="10237" width="13.42578125" style="1" customWidth="1"/>
    <col min="10238" max="10238" width="7.42578125" style="1" customWidth="1"/>
    <col min="10239" max="10239" width="7.28515625" style="1" customWidth="1"/>
    <col min="10240" max="10240" width="7.42578125" style="1" customWidth="1"/>
    <col min="10241" max="10241" width="8.42578125" style="1" customWidth="1"/>
    <col min="10242" max="10242" width="10.42578125" style="1" bestFit="1" customWidth="1"/>
    <col min="10243" max="10489" width="8.85546875" style="1"/>
    <col min="10490" max="10490" width="4.42578125" style="1" customWidth="1"/>
    <col min="10491" max="10491" width="56.85546875" style="1" customWidth="1"/>
    <col min="10492" max="10492" width="14.140625" style="1" customWidth="1"/>
    <col min="10493" max="10493" width="13.42578125" style="1" customWidth="1"/>
    <col min="10494" max="10494" width="7.42578125" style="1" customWidth="1"/>
    <col min="10495" max="10495" width="7.28515625" style="1" customWidth="1"/>
    <col min="10496" max="10496" width="7.42578125" style="1" customWidth="1"/>
    <col min="10497" max="10497" width="8.42578125" style="1" customWidth="1"/>
    <col min="10498" max="10498" width="10.42578125" style="1" bestFit="1" customWidth="1"/>
    <col min="10499" max="10745" width="8.85546875" style="1"/>
    <col min="10746" max="10746" width="4.42578125" style="1" customWidth="1"/>
    <col min="10747" max="10747" width="56.85546875" style="1" customWidth="1"/>
    <col min="10748" max="10748" width="14.140625" style="1" customWidth="1"/>
    <col min="10749" max="10749" width="13.42578125" style="1" customWidth="1"/>
    <col min="10750" max="10750" width="7.42578125" style="1" customWidth="1"/>
    <col min="10751" max="10751" width="7.28515625" style="1" customWidth="1"/>
    <col min="10752" max="10752" width="7.42578125" style="1" customWidth="1"/>
    <col min="10753" max="10753" width="8.42578125" style="1" customWidth="1"/>
    <col min="10754" max="10754" width="10.42578125" style="1" bestFit="1" customWidth="1"/>
    <col min="10755" max="11001" width="8.85546875" style="1"/>
    <col min="11002" max="11002" width="4.42578125" style="1" customWidth="1"/>
    <col min="11003" max="11003" width="56.85546875" style="1" customWidth="1"/>
    <col min="11004" max="11004" width="14.140625" style="1" customWidth="1"/>
    <col min="11005" max="11005" width="13.42578125" style="1" customWidth="1"/>
    <col min="11006" max="11006" width="7.42578125" style="1" customWidth="1"/>
    <col min="11007" max="11007" width="7.28515625" style="1" customWidth="1"/>
    <col min="11008" max="11008" width="7.42578125" style="1" customWidth="1"/>
    <col min="11009" max="11009" width="8.42578125" style="1" customWidth="1"/>
    <col min="11010" max="11010" width="10.42578125" style="1" bestFit="1" customWidth="1"/>
    <col min="11011" max="11257" width="8.85546875" style="1"/>
    <col min="11258" max="11258" width="4.42578125" style="1" customWidth="1"/>
    <col min="11259" max="11259" width="56.85546875" style="1" customWidth="1"/>
    <col min="11260" max="11260" width="14.140625" style="1" customWidth="1"/>
    <col min="11261" max="11261" width="13.42578125" style="1" customWidth="1"/>
    <col min="11262" max="11262" width="7.42578125" style="1" customWidth="1"/>
    <col min="11263" max="11263" width="7.28515625" style="1" customWidth="1"/>
    <col min="11264" max="11264" width="7.42578125" style="1" customWidth="1"/>
    <col min="11265" max="11265" width="8.42578125" style="1" customWidth="1"/>
    <col min="11266" max="11266" width="10.42578125" style="1" bestFit="1" customWidth="1"/>
    <col min="11267" max="11513" width="8.85546875" style="1"/>
    <col min="11514" max="11514" width="4.42578125" style="1" customWidth="1"/>
    <col min="11515" max="11515" width="56.85546875" style="1" customWidth="1"/>
    <col min="11516" max="11516" width="14.140625" style="1" customWidth="1"/>
    <col min="11517" max="11517" width="13.42578125" style="1" customWidth="1"/>
    <col min="11518" max="11518" width="7.42578125" style="1" customWidth="1"/>
    <col min="11519" max="11519" width="7.28515625" style="1" customWidth="1"/>
    <col min="11520" max="11520" width="7.42578125" style="1" customWidth="1"/>
    <col min="11521" max="11521" width="8.42578125" style="1" customWidth="1"/>
    <col min="11522" max="11522" width="10.42578125" style="1" bestFit="1" customWidth="1"/>
    <col min="11523" max="11769" width="8.85546875" style="1"/>
    <col min="11770" max="11770" width="4.42578125" style="1" customWidth="1"/>
    <col min="11771" max="11771" width="56.85546875" style="1" customWidth="1"/>
    <col min="11772" max="11772" width="14.140625" style="1" customWidth="1"/>
    <col min="11773" max="11773" width="13.42578125" style="1" customWidth="1"/>
    <col min="11774" max="11774" width="7.42578125" style="1" customWidth="1"/>
    <col min="11775" max="11775" width="7.28515625" style="1" customWidth="1"/>
    <col min="11776" max="11776" width="7.42578125" style="1" customWidth="1"/>
    <col min="11777" max="11777" width="8.42578125" style="1" customWidth="1"/>
    <col min="11778" max="11778" width="10.42578125" style="1" bestFit="1" customWidth="1"/>
    <col min="11779" max="12025" width="8.85546875" style="1"/>
    <col min="12026" max="12026" width="4.42578125" style="1" customWidth="1"/>
    <col min="12027" max="12027" width="56.85546875" style="1" customWidth="1"/>
    <col min="12028" max="12028" width="14.140625" style="1" customWidth="1"/>
    <col min="12029" max="12029" width="13.42578125" style="1" customWidth="1"/>
    <col min="12030" max="12030" width="7.42578125" style="1" customWidth="1"/>
    <col min="12031" max="12031" width="7.28515625" style="1" customWidth="1"/>
    <col min="12032" max="12032" width="7.42578125" style="1" customWidth="1"/>
    <col min="12033" max="12033" width="8.42578125" style="1" customWidth="1"/>
    <col min="12034" max="12034" width="10.42578125" style="1" bestFit="1" customWidth="1"/>
    <col min="12035" max="12281" width="8.85546875" style="1"/>
    <col min="12282" max="12282" width="4.42578125" style="1" customWidth="1"/>
    <col min="12283" max="12283" width="56.85546875" style="1" customWidth="1"/>
    <col min="12284" max="12284" width="14.140625" style="1" customWidth="1"/>
    <col min="12285" max="12285" width="13.42578125" style="1" customWidth="1"/>
    <col min="12286" max="12286" width="7.42578125" style="1" customWidth="1"/>
    <col min="12287" max="12287" width="7.28515625" style="1" customWidth="1"/>
    <col min="12288" max="12288" width="7.42578125" style="1" customWidth="1"/>
    <col min="12289" max="12289" width="8.42578125" style="1" customWidth="1"/>
    <col min="12290" max="12290" width="10.42578125" style="1" bestFit="1" customWidth="1"/>
    <col min="12291" max="12537" width="8.85546875" style="1"/>
    <col min="12538" max="12538" width="4.42578125" style="1" customWidth="1"/>
    <col min="12539" max="12539" width="56.85546875" style="1" customWidth="1"/>
    <col min="12540" max="12540" width="14.140625" style="1" customWidth="1"/>
    <col min="12541" max="12541" width="13.42578125" style="1" customWidth="1"/>
    <col min="12542" max="12542" width="7.42578125" style="1" customWidth="1"/>
    <col min="12543" max="12543" width="7.28515625" style="1" customWidth="1"/>
    <col min="12544" max="12544" width="7.42578125" style="1" customWidth="1"/>
    <col min="12545" max="12545" width="8.42578125" style="1" customWidth="1"/>
    <col min="12546" max="12546" width="10.42578125" style="1" bestFit="1" customWidth="1"/>
    <col min="12547" max="12793" width="8.85546875" style="1"/>
    <col min="12794" max="12794" width="4.42578125" style="1" customWidth="1"/>
    <col min="12795" max="12795" width="56.85546875" style="1" customWidth="1"/>
    <col min="12796" max="12796" width="14.140625" style="1" customWidth="1"/>
    <col min="12797" max="12797" width="13.42578125" style="1" customWidth="1"/>
    <col min="12798" max="12798" width="7.42578125" style="1" customWidth="1"/>
    <col min="12799" max="12799" width="7.28515625" style="1" customWidth="1"/>
    <col min="12800" max="12800" width="7.42578125" style="1" customWidth="1"/>
    <col min="12801" max="12801" width="8.42578125" style="1" customWidth="1"/>
    <col min="12802" max="12802" width="10.42578125" style="1" bestFit="1" customWidth="1"/>
    <col min="12803" max="13049" width="8.85546875" style="1"/>
    <col min="13050" max="13050" width="4.42578125" style="1" customWidth="1"/>
    <col min="13051" max="13051" width="56.85546875" style="1" customWidth="1"/>
    <col min="13052" max="13052" width="14.140625" style="1" customWidth="1"/>
    <col min="13053" max="13053" width="13.42578125" style="1" customWidth="1"/>
    <col min="13054" max="13054" width="7.42578125" style="1" customWidth="1"/>
    <col min="13055" max="13055" width="7.28515625" style="1" customWidth="1"/>
    <col min="13056" max="13056" width="7.42578125" style="1" customWidth="1"/>
    <col min="13057" max="13057" width="8.42578125" style="1" customWidth="1"/>
    <col min="13058" max="13058" width="10.42578125" style="1" bestFit="1" customWidth="1"/>
    <col min="13059" max="13305" width="8.85546875" style="1"/>
    <col min="13306" max="13306" width="4.42578125" style="1" customWidth="1"/>
    <col min="13307" max="13307" width="56.85546875" style="1" customWidth="1"/>
    <col min="13308" max="13308" width="14.140625" style="1" customWidth="1"/>
    <col min="13309" max="13309" width="13.42578125" style="1" customWidth="1"/>
    <col min="13310" max="13310" width="7.42578125" style="1" customWidth="1"/>
    <col min="13311" max="13311" width="7.28515625" style="1" customWidth="1"/>
    <col min="13312" max="13312" width="7.42578125" style="1" customWidth="1"/>
    <col min="13313" max="13313" width="8.42578125" style="1" customWidth="1"/>
    <col min="13314" max="13314" width="10.42578125" style="1" bestFit="1" customWidth="1"/>
    <col min="13315" max="13561" width="8.85546875" style="1"/>
    <col min="13562" max="13562" width="4.42578125" style="1" customWidth="1"/>
    <col min="13563" max="13563" width="56.85546875" style="1" customWidth="1"/>
    <col min="13564" max="13564" width="14.140625" style="1" customWidth="1"/>
    <col min="13565" max="13565" width="13.42578125" style="1" customWidth="1"/>
    <col min="13566" max="13566" width="7.42578125" style="1" customWidth="1"/>
    <col min="13567" max="13567" width="7.28515625" style="1" customWidth="1"/>
    <col min="13568" max="13568" width="7.42578125" style="1" customWidth="1"/>
    <col min="13569" max="13569" width="8.42578125" style="1" customWidth="1"/>
    <col min="13570" max="13570" width="10.42578125" style="1" bestFit="1" customWidth="1"/>
    <col min="13571" max="13817" width="8.85546875" style="1"/>
    <col min="13818" max="13818" width="4.42578125" style="1" customWidth="1"/>
    <col min="13819" max="13819" width="56.85546875" style="1" customWidth="1"/>
    <col min="13820" max="13820" width="14.140625" style="1" customWidth="1"/>
    <col min="13821" max="13821" width="13.42578125" style="1" customWidth="1"/>
    <col min="13822" max="13822" width="7.42578125" style="1" customWidth="1"/>
    <col min="13823" max="13823" width="7.28515625" style="1" customWidth="1"/>
    <col min="13824" max="13824" width="7.42578125" style="1" customWidth="1"/>
    <col min="13825" max="13825" width="8.42578125" style="1" customWidth="1"/>
    <col min="13826" max="13826" width="10.42578125" style="1" bestFit="1" customWidth="1"/>
    <col min="13827" max="14073" width="8.85546875" style="1"/>
    <col min="14074" max="14074" width="4.42578125" style="1" customWidth="1"/>
    <col min="14075" max="14075" width="56.85546875" style="1" customWidth="1"/>
    <col min="14076" max="14076" width="14.140625" style="1" customWidth="1"/>
    <col min="14077" max="14077" width="13.42578125" style="1" customWidth="1"/>
    <col min="14078" max="14078" width="7.42578125" style="1" customWidth="1"/>
    <col min="14079" max="14079" width="7.28515625" style="1" customWidth="1"/>
    <col min="14080" max="14080" width="7.42578125" style="1" customWidth="1"/>
    <col min="14081" max="14081" width="8.42578125" style="1" customWidth="1"/>
    <col min="14082" max="14082" width="10.42578125" style="1" bestFit="1" customWidth="1"/>
    <col min="14083" max="14329" width="8.85546875" style="1"/>
    <col min="14330" max="14330" width="4.42578125" style="1" customWidth="1"/>
    <col min="14331" max="14331" width="56.85546875" style="1" customWidth="1"/>
    <col min="14332" max="14332" width="14.140625" style="1" customWidth="1"/>
    <col min="14333" max="14333" width="13.42578125" style="1" customWidth="1"/>
    <col min="14334" max="14334" width="7.42578125" style="1" customWidth="1"/>
    <col min="14335" max="14335" width="7.28515625" style="1" customWidth="1"/>
    <col min="14336" max="14336" width="7.42578125" style="1" customWidth="1"/>
    <col min="14337" max="14337" width="8.42578125" style="1" customWidth="1"/>
    <col min="14338" max="14338" width="10.42578125" style="1" bestFit="1" customWidth="1"/>
    <col min="14339" max="14585" width="8.85546875" style="1"/>
    <col min="14586" max="14586" width="4.42578125" style="1" customWidth="1"/>
    <col min="14587" max="14587" width="56.85546875" style="1" customWidth="1"/>
    <col min="14588" max="14588" width="14.140625" style="1" customWidth="1"/>
    <col min="14589" max="14589" width="13.42578125" style="1" customWidth="1"/>
    <col min="14590" max="14590" width="7.42578125" style="1" customWidth="1"/>
    <col min="14591" max="14591" width="7.28515625" style="1" customWidth="1"/>
    <col min="14592" max="14592" width="7.42578125" style="1" customWidth="1"/>
    <col min="14593" max="14593" width="8.42578125" style="1" customWidth="1"/>
    <col min="14594" max="14594" width="10.42578125" style="1" bestFit="1" customWidth="1"/>
    <col min="14595" max="14841" width="8.85546875" style="1"/>
    <col min="14842" max="14842" width="4.42578125" style="1" customWidth="1"/>
    <col min="14843" max="14843" width="56.85546875" style="1" customWidth="1"/>
    <col min="14844" max="14844" width="14.140625" style="1" customWidth="1"/>
    <col min="14845" max="14845" width="13.42578125" style="1" customWidth="1"/>
    <col min="14846" max="14846" width="7.42578125" style="1" customWidth="1"/>
    <col min="14847" max="14847" width="7.28515625" style="1" customWidth="1"/>
    <col min="14848" max="14848" width="7.42578125" style="1" customWidth="1"/>
    <col min="14849" max="14849" width="8.42578125" style="1" customWidth="1"/>
    <col min="14850" max="14850" width="10.42578125" style="1" bestFit="1" customWidth="1"/>
    <col min="14851" max="15097" width="8.85546875" style="1"/>
    <col min="15098" max="15098" width="4.42578125" style="1" customWidth="1"/>
    <col min="15099" max="15099" width="56.85546875" style="1" customWidth="1"/>
    <col min="15100" max="15100" width="14.140625" style="1" customWidth="1"/>
    <col min="15101" max="15101" width="13.42578125" style="1" customWidth="1"/>
    <col min="15102" max="15102" width="7.42578125" style="1" customWidth="1"/>
    <col min="15103" max="15103" width="7.28515625" style="1" customWidth="1"/>
    <col min="15104" max="15104" width="7.42578125" style="1" customWidth="1"/>
    <col min="15105" max="15105" width="8.42578125" style="1" customWidth="1"/>
    <col min="15106" max="15106" width="10.42578125" style="1" bestFit="1" customWidth="1"/>
    <col min="15107" max="15353" width="8.85546875" style="1"/>
    <col min="15354" max="15354" width="4.42578125" style="1" customWidth="1"/>
    <col min="15355" max="15355" width="56.85546875" style="1" customWidth="1"/>
    <col min="15356" max="15356" width="14.140625" style="1" customWidth="1"/>
    <col min="15357" max="15357" width="13.42578125" style="1" customWidth="1"/>
    <col min="15358" max="15358" width="7.42578125" style="1" customWidth="1"/>
    <col min="15359" max="15359" width="7.28515625" style="1" customWidth="1"/>
    <col min="15360" max="15360" width="7.42578125" style="1" customWidth="1"/>
    <col min="15361" max="15361" width="8.42578125" style="1" customWidth="1"/>
    <col min="15362" max="15362" width="10.42578125" style="1" bestFit="1" customWidth="1"/>
    <col min="15363" max="15609" width="8.85546875" style="1"/>
    <col min="15610" max="15610" width="4.42578125" style="1" customWidth="1"/>
    <col min="15611" max="15611" width="56.85546875" style="1" customWidth="1"/>
    <col min="15612" max="15612" width="14.140625" style="1" customWidth="1"/>
    <col min="15613" max="15613" width="13.42578125" style="1" customWidth="1"/>
    <col min="15614" max="15614" width="7.42578125" style="1" customWidth="1"/>
    <col min="15615" max="15615" width="7.28515625" style="1" customWidth="1"/>
    <col min="15616" max="15616" width="7.42578125" style="1" customWidth="1"/>
    <col min="15617" max="15617" width="8.42578125" style="1" customWidth="1"/>
    <col min="15618" max="15618" width="10.42578125" style="1" bestFit="1" customWidth="1"/>
    <col min="15619" max="15865" width="8.85546875" style="1"/>
    <col min="15866" max="15866" width="4.42578125" style="1" customWidth="1"/>
    <col min="15867" max="15867" width="56.85546875" style="1" customWidth="1"/>
    <col min="15868" max="15868" width="14.140625" style="1" customWidth="1"/>
    <col min="15869" max="15869" width="13.42578125" style="1" customWidth="1"/>
    <col min="15870" max="15870" width="7.42578125" style="1" customWidth="1"/>
    <col min="15871" max="15871" width="7.28515625" style="1" customWidth="1"/>
    <col min="15872" max="15872" width="7.42578125" style="1" customWidth="1"/>
    <col min="15873" max="15873" width="8.42578125" style="1" customWidth="1"/>
    <col min="15874" max="15874" width="10.42578125" style="1" bestFit="1" customWidth="1"/>
    <col min="15875" max="16121" width="8.85546875" style="1"/>
    <col min="16122" max="16122" width="4.42578125" style="1" customWidth="1"/>
    <col min="16123" max="16123" width="56.85546875" style="1" customWidth="1"/>
    <col min="16124" max="16124" width="14.140625" style="1" customWidth="1"/>
    <col min="16125" max="16125" width="13.42578125" style="1" customWidth="1"/>
    <col min="16126" max="16126" width="7.42578125" style="1" customWidth="1"/>
    <col min="16127" max="16127" width="7.28515625" style="1" customWidth="1"/>
    <col min="16128" max="16128" width="7.42578125" style="1" customWidth="1"/>
    <col min="16129" max="16129" width="8.42578125" style="1" customWidth="1"/>
    <col min="16130" max="16130" width="10.42578125" style="1" bestFit="1" customWidth="1"/>
    <col min="16131" max="16382" width="8.85546875" style="1"/>
    <col min="16383" max="16384" width="8.85546875" style="1" customWidth="1"/>
  </cols>
  <sheetData>
    <row r="1" spans="1:16" ht="18" customHeight="1" x14ac:dyDescent="0.25">
      <c r="C1" s="26" t="s">
        <v>0</v>
      </c>
      <c r="D1" s="132"/>
      <c r="E1" s="132"/>
      <c r="F1" s="1"/>
    </row>
    <row r="2" spans="1:16" ht="13.5" customHeight="1" x14ac:dyDescent="0.25">
      <c r="B2" s="133"/>
      <c r="C2" s="26" t="s">
        <v>390</v>
      </c>
      <c r="D2" s="132"/>
      <c r="E2" s="132"/>
      <c r="F2" s="1"/>
    </row>
    <row r="3" spans="1:16" ht="14.25" customHeight="1" x14ac:dyDescent="0.25">
      <c r="A3" s="30"/>
      <c r="B3" s="30"/>
      <c r="C3" s="26" t="s">
        <v>366</v>
      </c>
      <c r="D3" s="132"/>
      <c r="E3" s="132"/>
      <c r="F3" s="1"/>
    </row>
    <row r="4" spans="1:16" ht="14.25" customHeight="1" x14ac:dyDescent="0.25">
      <c r="B4" s="16"/>
      <c r="C4" s="26" t="s">
        <v>198</v>
      </c>
      <c r="D4" s="132"/>
      <c r="E4" s="132"/>
      <c r="F4" s="1"/>
    </row>
    <row r="5" spans="1:16" ht="14.25" customHeight="1" x14ac:dyDescent="0.25">
      <c r="B5" s="16"/>
      <c r="C5" s="26"/>
      <c r="D5" s="132"/>
      <c r="E5" s="132"/>
      <c r="F5" s="1"/>
    </row>
    <row r="6" spans="1:16" ht="14.25" customHeight="1" x14ac:dyDescent="0.25">
      <c r="B6" s="30" t="s">
        <v>389</v>
      </c>
      <c r="C6" s="134"/>
      <c r="D6" s="132"/>
      <c r="E6" s="132"/>
      <c r="F6" s="1"/>
    </row>
    <row r="7" spans="1:16" x14ac:dyDescent="0.25">
      <c r="C7" s="135" t="s">
        <v>1</v>
      </c>
      <c r="D7" s="132"/>
      <c r="E7" s="132"/>
      <c r="F7" s="1"/>
    </row>
    <row r="8" spans="1:16" ht="21" x14ac:dyDescent="0.25">
      <c r="A8" s="136" t="s">
        <v>2</v>
      </c>
      <c r="B8" s="137" t="s">
        <v>3</v>
      </c>
      <c r="C8" s="138" t="s">
        <v>4</v>
      </c>
      <c r="D8" s="139"/>
      <c r="E8" s="132"/>
      <c r="F8" s="1"/>
    </row>
    <row r="9" spans="1:16" x14ac:dyDescent="0.25">
      <c r="A9" s="140">
        <v>1</v>
      </c>
      <c r="B9" s="141" t="s">
        <v>5</v>
      </c>
      <c r="C9" s="142">
        <f>C10+C14+C18</f>
        <v>54443</v>
      </c>
      <c r="D9" s="143"/>
      <c r="E9" s="132"/>
      <c r="F9" s="1"/>
    </row>
    <row r="10" spans="1:16" x14ac:dyDescent="0.25">
      <c r="A10" s="140">
        <v>2</v>
      </c>
      <c r="B10" s="141" t="s">
        <v>199</v>
      </c>
      <c r="C10" s="142">
        <f>C11</f>
        <v>51630</v>
      </c>
      <c r="D10" s="143"/>
      <c r="E10" s="132"/>
      <c r="F10" s="1"/>
    </row>
    <row r="11" spans="1:16" x14ac:dyDescent="0.25">
      <c r="A11" s="140">
        <v>3</v>
      </c>
      <c r="B11" s="144" t="s">
        <v>200</v>
      </c>
      <c r="C11" s="145">
        <f>+C12+C13</f>
        <v>51630</v>
      </c>
      <c r="D11" s="146"/>
      <c r="E11" s="132"/>
      <c r="F11" s="1"/>
    </row>
    <row r="12" spans="1:16" ht="28.5" customHeight="1" x14ac:dyDescent="0.25">
      <c r="A12" s="147" t="s">
        <v>201</v>
      </c>
      <c r="B12" s="148" t="s">
        <v>385</v>
      </c>
      <c r="C12" s="145">
        <v>51540</v>
      </c>
      <c r="D12" s="146"/>
      <c r="E12" s="132"/>
      <c r="F12" s="1"/>
    </row>
    <row r="13" spans="1:16" ht="25.5" x14ac:dyDescent="0.25">
      <c r="A13" s="147" t="s">
        <v>202</v>
      </c>
      <c r="B13" s="149" t="s">
        <v>191</v>
      </c>
      <c r="C13" s="145">
        <v>90</v>
      </c>
      <c r="D13" s="146"/>
      <c r="E13" s="132"/>
      <c r="F13" s="1"/>
    </row>
    <row r="14" spans="1:16" x14ac:dyDescent="0.25">
      <c r="A14" s="140">
        <v>4</v>
      </c>
      <c r="B14" s="150" t="s">
        <v>6</v>
      </c>
      <c r="C14" s="151">
        <f>C15+C16+C17</f>
        <v>1780</v>
      </c>
      <c r="D14" s="132"/>
      <c r="E14" s="132"/>
      <c r="F14" s="1"/>
    </row>
    <row r="15" spans="1:16" x14ac:dyDescent="0.25">
      <c r="A15" s="140">
        <f>+A14+1</f>
        <v>5</v>
      </c>
      <c r="B15" s="144" t="s">
        <v>7</v>
      </c>
      <c r="C15" s="145">
        <v>900</v>
      </c>
      <c r="D15" s="132"/>
      <c r="E15" s="132"/>
      <c r="F15" s="1"/>
      <c r="P15" s="1" t="s">
        <v>288</v>
      </c>
    </row>
    <row r="16" spans="1:16" x14ac:dyDescent="0.25">
      <c r="A16" s="140">
        <f t="shared" ref="A16:A48" si="0">+A15+1</f>
        <v>6</v>
      </c>
      <c r="B16" s="144" t="s">
        <v>8</v>
      </c>
      <c r="C16" s="145">
        <v>850</v>
      </c>
      <c r="D16" s="132"/>
      <c r="E16" s="132"/>
      <c r="F16" s="1"/>
    </row>
    <row r="17" spans="1:18" x14ac:dyDescent="0.25">
      <c r="A17" s="140">
        <f t="shared" si="0"/>
        <v>7</v>
      </c>
      <c r="B17" s="144" t="s">
        <v>9</v>
      </c>
      <c r="C17" s="145">
        <v>30</v>
      </c>
      <c r="D17" s="132"/>
      <c r="E17" s="132"/>
      <c r="F17" s="1"/>
    </row>
    <row r="18" spans="1:18" x14ac:dyDescent="0.25">
      <c r="A18" s="140">
        <f t="shared" si="0"/>
        <v>8</v>
      </c>
      <c r="B18" s="150" t="s">
        <v>303</v>
      </c>
      <c r="C18" s="152">
        <f>C19+C20</f>
        <v>1033</v>
      </c>
      <c r="D18" s="132"/>
      <c r="E18" s="132"/>
      <c r="F18" s="1"/>
    </row>
    <row r="19" spans="1:18" x14ac:dyDescent="0.25">
      <c r="A19" s="140">
        <f t="shared" si="0"/>
        <v>9</v>
      </c>
      <c r="B19" s="144" t="s">
        <v>10</v>
      </c>
      <c r="C19" s="145">
        <v>89</v>
      </c>
      <c r="D19" s="132"/>
      <c r="E19" s="132"/>
      <c r="F19" s="1"/>
    </row>
    <row r="20" spans="1:18" x14ac:dyDescent="0.25">
      <c r="A20" s="140">
        <f t="shared" si="0"/>
        <v>10</v>
      </c>
      <c r="B20" s="153" t="s">
        <v>302</v>
      </c>
      <c r="C20" s="154">
        <v>944</v>
      </c>
      <c r="D20" s="132"/>
      <c r="E20" s="132"/>
      <c r="F20" s="1"/>
    </row>
    <row r="21" spans="1:18" x14ac:dyDescent="0.25">
      <c r="A21" s="140">
        <f t="shared" si="0"/>
        <v>11</v>
      </c>
      <c r="B21" s="150" t="s">
        <v>310</v>
      </c>
      <c r="C21" s="152">
        <f>C22+C26+C31+C36+C38+C37</f>
        <v>4501.3549999999996</v>
      </c>
      <c r="D21" s="132"/>
      <c r="E21" s="132"/>
      <c r="F21" s="1"/>
    </row>
    <row r="22" spans="1:18" x14ac:dyDescent="0.25">
      <c r="A22" s="140">
        <f t="shared" si="0"/>
        <v>12</v>
      </c>
      <c r="B22" s="150" t="s">
        <v>311</v>
      </c>
      <c r="C22" s="152">
        <f>C24+C25+C23</f>
        <v>313</v>
      </c>
      <c r="D22" s="132"/>
      <c r="E22" s="132"/>
      <c r="F22" s="1"/>
    </row>
    <row r="23" spans="1:18" x14ac:dyDescent="0.25">
      <c r="A23" s="140">
        <f t="shared" si="0"/>
        <v>13</v>
      </c>
      <c r="B23" s="155" t="s">
        <v>304</v>
      </c>
      <c r="C23" s="145">
        <v>52</v>
      </c>
      <c r="D23" s="132"/>
      <c r="E23" s="156"/>
      <c r="F23" s="1"/>
    </row>
    <row r="24" spans="1:18" ht="25.9" customHeight="1" x14ac:dyDescent="0.25">
      <c r="A24" s="147">
        <f t="shared" si="0"/>
        <v>14</v>
      </c>
      <c r="B24" s="157" t="s">
        <v>13</v>
      </c>
      <c r="C24" s="145">
        <v>80</v>
      </c>
      <c r="D24" s="132"/>
      <c r="E24" s="132"/>
      <c r="F24" s="1"/>
    </row>
    <row r="25" spans="1:18" ht="15.6" customHeight="1" x14ac:dyDescent="0.25">
      <c r="A25" s="140">
        <f t="shared" si="0"/>
        <v>15</v>
      </c>
      <c r="B25" s="158" t="s">
        <v>14</v>
      </c>
      <c r="C25" s="145">
        <v>181</v>
      </c>
      <c r="D25" s="132"/>
      <c r="E25" s="132"/>
      <c r="F25" s="1"/>
    </row>
    <row r="26" spans="1:18" ht="15" customHeight="1" x14ac:dyDescent="0.25">
      <c r="A26" s="140">
        <f t="shared" si="0"/>
        <v>16</v>
      </c>
      <c r="B26" s="159" t="s">
        <v>312</v>
      </c>
      <c r="C26" s="152">
        <f>C27+C28+C29+C30</f>
        <v>2212.355</v>
      </c>
      <c r="D26" s="132"/>
      <c r="E26" s="132"/>
      <c r="F26" s="1"/>
    </row>
    <row r="27" spans="1:18" ht="13.9" customHeight="1" x14ac:dyDescent="0.25">
      <c r="A27" s="140">
        <f t="shared" si="0"/>
        <v>17</v>
      </c>
      <c r="B27" s="158" t="s">
        <v>15</v>
      </c>
      <c r="C27" s="154">
        <f>193.42</f>
        <v>193.42</v>
      </c>
      <c r="D27" s="132"/>
      <c r="E27" s="132"/>
      <c r="F27" s="31"/>
      <c r="H27" s="31"/>
      <c r="N27" s="31"/>
      <c r="Q27" s="31"/>
    </row>
    <row r="28" spans="1:18" x14ac:dyDescent="0.25">
      <c r="A28" s="140">
        <f t="shared" si="0"/>
        <v>18</v>
      </c>
      <c r="B28" s="144" t="s">
        <v>133</v>
      </c>
      <c r="C28" s="154">
        <f>522.2</f>
        <v>522.20000000000005</v>
      </c>
      <c r="D28" s="160"/>
      <c r="E28" s="132"/>
      <c r="F28" s="31"/>
      <c r="N28" s="31"/>
      <c r="Q28" s="31"/>
    </row>
    <row r="29" spans="1:18" x14ac:dyDescent="0.25">
      <c r="A29" s="140">
        <f t="shared" si="0"/>
        <v>19</v>
      </c>
      <c r="B29" s="144" t="s">
        <v>16</v>
      </c>
      <c r="C29" s="154">
        <f>996.735</f>
        <v>996.73500000000001</v>
      </c>
      <c r="D29" s="132"/>
      <c r="E29" s="132"/>
      <c r="F29" s="31"/>
      <c r="N29" s="31"/>
      <c r="Q29" s="31"/>
      <c r="R29" s="31"/>
    </row>
    <row r="30" spans="1:18" x14ac:dyDescent="0.25">
      <c r="A30" s="140">
        <f t="shared" si="0"/>
        <v>20</v>
      </c>
      <c r="B30" s="144" t="s">
        <v>187</v>
      </c>
      <c r="C30" s="145">
        <v>500</v>
      </c>
      <c r="D30" s="132"/>
      <c r="E30" s="132"/>
      <c r="F30" s="1"/>
      <c r="N30" s="31"/>
      <c r="O30" s="31"/>
    </row>
    <row r="31" spans="1:18" x14ac:dyDescent="0.25">
      <c r="A31" s="140">
        <f t="shared" si="0"/>
        <v>21</v>
      </c>
      <c r="B31" s="161" t="s">
        <v>313</v>
      </c>
      <c r="C31" s="152">
        <f>C32+C33</f>
        <v>1870</v>
      </c>
      <c r="D31" s="132"/>
      <c r="E31" s="132"/>
      <c r="F31" s="1"/>
    </row>
    <row r="32" spans="1:18" x14ac:dyDescent="0.25">
      <c r="A32" s="140">
        <f t="shared" si="0"/>
        <v>22</v>
      </c>
      <c r="B32" s="144" t="s">
        <v>129</v>
      </c>
      <c r="C32" s="145">
        <v>70</v>
      </c>
      <c r="D32" s="132"/>
      <c r="E32" s="132"/>
      <c r="F32" s="1"/>
    </row>
    <row r="33" spans="1:15" x14ac:dyDescent="0.25">
      <c r="A33" s="140">
        <f t="shared" si="0"/>
        <v>23</v>
      </c>
      <c r="B33" s="144" t="s">
        <v>314</v>
      </c>
      <c r="C33" s="145">
        <f>+C34+C35</f>
        <v>1800</v>
      </c>
      <c r="D33" s="132"/>
      <c r="E33" s="132"/>
      <c r="F33" s="1"/>
      <c r="O33" s="31"/>
    </row>
    <row r="34" spans="1:15" x14ac:dyDescent="0.25">
      <c r="A34" s="140">
        <f t="shared" si="0"/>
        <v>24</v>
      </c>
      <c r="B34" s="144" t="s">
        <v>11</v>
      </c>
      <c r="C34" s="145">
        <v>1500</v>
      </c>
      <c r="D34" s="132"/>
      <c r="E34" s="132"/>
      <c r="F34" s="1"/>
    </row>
    <row r="35" spans="1:15" x14ac:dyDescent="0.25">
      <c r="A35" s="140">
        <f t="shared" si="0"/>
        <v>25</v>
      </c>
      <c r="B35" s="144" t="s">
        <v>12</v>
      </c>
      <c r="C35" s="145">
        <v>300</v>
      </c>
      <c r="D35" s="132"/>
      <c r="E35" s="132"/>
      <c r="F35" s="1"/>
    </row>
    <row r="36" spans="1:15" x14ac:dyDescent="0.25">
      <c r="A36" s="140">
        <f t="shared" si="0"/>
        <v>26</v>
      </c>
      <c r="B36" s="161" t="s">
        <v>17</v>
      </c>
      <c r="C36" s="152">
        <v>40</v>
      </c>
      <c r="D36" s="132"/>
      <c r="E36" s="132"/>
      <c r="F36" s="1"/>
    </row>
    <row r="37" spans="1:15" ht="27" customHeight="1" x14ac:dyDescent="0.25">
      <c r="A37" s="147">
        <f t="shared" si="0"/>
        <v>27</v>
      </c>
      <c r="B37" s="162" t="s">
        <v>18</v>
      </c>
      <c r="C37" s="163">
        <v>6</v>
      </c>
      <c r="D37" s="132"/>
      <c r="E37" s="132"/>
      <c r="F37" s="1"/>
      <c r="H37" s="31"/>
    </row>
    <row r="38" spans="1:15" x14ac:dyDescent="0.25">
      <c r="A38" s="140">
        <f t="shared" si="0"/>
        <v>28</v>
      </c>
      <c r="B38" s="161" t="s">
        <v>19</v>
      </c>
      <c r="C38" s="152">
        <v>60</v>
      </c>
      <c r="D38" s="109"/>
      <c r="E38" s="132"/>
      <c r="F38" s="1"/>
    </row>
    <row r="39" spans="1:15" ht="27.75" customHeight="1" x14ac:dyDescent="0.25">
      <c r="A39" s="147">
        <f t="shared" si="0"/>
        <v>29</v>
      </c>
      <c r="B39" s="164" t="s">
        <v>309</v>
      </c>
      <c r="C39" s="152">
        <f>C40+C41</f>
        <v>85</v>
      </c>
      <c r="D39" s="165"/>
      <c r="E39" s="132"/>
      <c r="F39" s="1"/>
    </row>
    <row r="40" spans="1:15" ht="15" customHeight="1" x14ac:dyDescent="0.25">
      <c r="A40" s="140">
        <f t="shared" si="0"/>
        <v>30</v>
      </c>
      <c r="B40" s="158" t="s">
        <v>132</v>
      </c>
      <c r="C40" s="145">
        <v>55</v>
      </c>
      <c r="D40" s="132"/>
      <c r="E40" s="132"/>
      <c r="F40" s="1"/>
    </row>
    <row r="41" spans="1:15" ht="16.5" customHeight="1" x14ac:dyDescent="0.25">
      <c r="A41" s="140">
        <f t="shared" si="0"/>
        <v>31</v>
      </c>
      <c r="B41" s="158" t="s">
        <v>20</v>
      </c>
      <c r="C41" s="145">
        <v>30</v>
      </c>
      <c r="D41" s="132"/>
      <c r="E41" s="132"/>
      <c r="F41" s="1"/>
    </row>
    <row r="42" spans="1:15" ht="15.6" customHeight="1" x14ac:dyDescent="0.25">
      <c r="A42" s="140">
        <f t="shared" si="0"/>
        <v>32</v>
      </c>
      <c r="B42" s="166" t="s">
        <v>190</v>
      </c>
      <c r="C42" s="152">
        <f>C9+C21+C39</f>
        <v>59029.354999999996</v>
      </c>
      <c r="D42" s="165"/>
      <c r="E42" s="132"/>
      <c r="F42" s="31"/>
    </row>
    <row r="43" spans="1:15" ht="15.6" customHeight="1" x14ac:dyDescent="0.25">
      <c r="A43" s="140">
        <f t="shared" si="0"/>
        <v>33</v>
      </c>
      <c r="B43" s="167" t="s">
        <v>467</v>
      </c>
      <c r="C43" s="152">
        <f>C44+C47+C45+C46</f>
        <v>39113.90400000001</v>
      </c>
      <c r="D43" s="132"/>
      <c r="E43" s="132"/>
      <c r="F43" s="1"/>
    </row>
    <row r="44" spans="1:15" ht="27" customHeight="1" x14ac:dyDescent="0.25">
      <c r="A44" s="140">
        <f t="shared" si="0"/>
        <v>34</v>
      </c>
      <c r="B44" s="168" t="s">
        <v>388</v>
      </c>
      <c r="C44" s="65">
        <f>314.324+137.5+1592.266</f>
        <v>2044.0900000000001</v>
      </c>
      <c r="D44" s="132"/>
      <c r="E44" s="132"/>
      <c r="F44" s="1"/>
    </row>
    <row r="45" spans="1:15" ht="18" customHeight="1" x14ac:dyDescent="0.25">
      <c r="A45" s="140">
        <f t="shared" si="0"/>
        <v>35</v>
      </c>
      <c r="B45" s="169" t="s">
        <v>343</v>
      </c>
      <c r="C45" s="65">
        <v>855.31500000000005</v>
      </c>
      <c r="D45" s="132"/>
      <c r="E45" s="132"/>
      <c r="F45" s="1"/>
    </row>
    <row r="46" spans="1:15" ht="17.25" customHeight="1" x14ac:dyDescent="0.25">
      <c r="A46" s="140">
        <f t="shared" si="0"/>
        <v>36</v>
      </c>
      <c r="B46" s="170" t="s">
        <v>411</v>
      </c>
      <c r="C46" s="65">
        <v>1328.4770000000001</v>
      </c>
      <c r="D46" s="132"/>
      <c r="E46" s="132"/>
      <c r="F46" s="1"/>
    </row>
    <row r="47" spans="1:15" s="10" customFormat="1" ht="25.5" x14ac:dyDescent="0.25">
      <c r="A47" s="147">
        <f t="shared" si="0"/>
        <v>37</v>
      </c>
      <c r="B47" s="171" t="s">
        <v>466</v>
      </c>
      <c r="C47" s="172">
        <f>C48+C74+C75+C76+C77+C78+C79+C80+C81+C85+C86+C87+C88+C90+C82+C83+C84+C89</f>
        <v>34886.022000000004</v>
      </c>
      <c r="D47" s="173"/>
      <c r="E47" s="173"/>
    </row>
    <row r="48" spans="1:15" ht="15.6" customHeight="1" x14ac:dyDescent="0.25">
      <c r="A48" s="147">
        <f t="shared" si="0"/>
        <v>38</v>
      </c>
      <c r="B48" s="174" t="s">
        <v>21</v>
      </c>
      <c r="C48" s="175">
        <f>+C49+C51+C53+C54+C57+C58+C59+C60+C61+C62+C63+C64+C65+C66+C67+C68+C55+C70+C69+C56+C52+C73+C71+C50+C72</f>
        <v>5532.8709999999983</v>
      </c>
      <c r="D48" s="132"/>
      <c r="E48" s="132"/>
      <c r="F48" s="1"/>
    </row>
    <row r="49" spans="1:7" ht="15.6" customHeight="1" x14ac:dyDescent="0.25">
      <c r="A49" s="176" t="s">
        <v>433</v>
      </c>
      <c r="B49" s="46" t="s">
        <v>22</v>
      </c>
      <c r="C49" s="177">
        <v>9</v>
      </c>
      <c r="D49" s="132"/>
      <c r="E49" s="135"/>
      <c r="F49" s="1"/>
    </row>
    <row r="50" spans="1:7" ht="26.25" x14ac:dyDescent="0.25">
      <c r="A50" s="176" t="s">
        <v>434</v>
      </c>
      <c r="B50" s="3" t="s">
        <v>431</v>
      </c>
      <c r="C50" s="177">
        <v>55.3</v>
      </c>
      <c r="D50" s="132"/>
      <c r="E50" s="135"/>
      <c r="F50" s="1"/>
    </row>
    <row r="51" spans="1:7" ht="31.15" customHeight="1" x14ac:dyDescent="0.25">
      <c r="A51" s="176" t="s">
        <v>435</v>
      </c>
      <c r="B51" s="5" t="s">
        <v>276</v>
      </c>
      <c r="C51" s="70">
        <v>303.39999999999998</v>
      </c>
      <c r="D51" s="132"/>
      <c r="E51" s="135"/>
      <c r="F51" s="1"/>
    </row>
    <row r="52" spans="1:7" ht="52.9" customHeight="1" x14ac:dyDescent="0.25">
      <c r="A52" s="176" t="s">
        <v>436</v>
      </c>
      <c r="B52" s="5" t="s">
        <v>277</v>
      </c>
      <c r="C52" s="70">
        <v>5.4</v>
      </c>
      <c r="D52" s="132"/>
      <c r="E52" s="135"/>
      <c r="F52" s="1"/>
      <c r="G52" s="178"/>
    </row>
    <row r="53" spans="1:7" ht="15" customHeight="1" x14ac:dyDescent="0.25">
      <c r="A53" s="176" t="s">
        <v>437</v>
      </c>
      <c r="B53" s="179" t="s">
        <v>23</v>
      </c>
      <c r="C53" s="70">
        <f>890.1</f>
        <v>890.1</v>
      </c>
      <c r="D53" s="132"/>
      <c r="E53" s="135"/>
      <c r="F53" s="1"/>
    </row>
    <row r="54" spans="1:7" ht="28.5" customHeight="1" x14ac:dyDescent="0.25">
      <c r="A54" s="176" t="s">
        <v>438</v>
      </c>
      <c r="B54" s="157" t="s">
        <v>305</v>
      </c>
      <c r="C54" s="180">
        <v>1500</v>
      </c>
      <c r="D54" s="132"/>
      <c r="E54" s="135"/>
      <c r="F54" s="1"/>
    </row>
    <row r="55" spans="1:7" ht="27" customHeight="1" x14ac:dyDescent="0.25">
      <c r="A55" s="176" t="s">
        <v>439</v>
      </c>
      <c r="B55" s="157" t="s">
        <v>306</v>
      </c>
      <c r="C55" s="180">
        <v>670</v>
      </c>
      <c r="D55" s="109"/>
      <c r="E55" s="135"/>
      <c r="F55" s="1"/>
      <c r="G55" s="31"/>
    </row>
    <row r="56" spans="1:7" ht="31.5" customHeight="1" x14ac:dyDescent="0.25">
      <c r="A56" s="176" t="s">
        <v>440</v>
      </c>
      <c r="B56" s="5" t="s">
        <v>307</v>
      </c>
      <c r="C56" s="180">
        <v>72</v>
      </c>
      <c r="D56" s="132"/>
      <c r="E56" s="135"/>
      <c r="F56" s="1"/>
    </row>
    <row r="57" spans="1:7" ht="15.75" customHeight="1" x14ac:dyDescent="0.25">
      <c r="A57" s="176" t="s">
        <v>441</v>
      </c>
      <c r="B57" s="179" t="s">
        <v>24</v>
      </c>
      <c r="C57" s="180">
        <v>84.3</v>
      </c>
      <c r="D57" s="132"/>
      <c r="E57" s="135"/>
      <c r="F57" s="1"/>
    </row>
    <row r="58" spans="1:7" ht="14.25" customHeight="1" x14ac:dyDescent="0.25">
      <c r="A58" s="176" t="s">
        <v>442</v>
      </c>
      <c r="B58" s="144" t="s">
        <v>25</v>
      </c>
      <c r="C58" s="180">
        <v>19.5</v>
      </c>
      <c r="D58" s="132"/>
      <c r="E58" s="135"/>
      <c r="F58" s="1"/>
    </row>
    <row r="59" spans="1:7" ht="27" customHeight="1" x14ac:dyDescent="0.25">
      <c r="A59" s="176" t="s">
        <v>443</v>
      </c>
      <c r="B59" s="148" t="s">
        <v>26</v>
      </c>
      <c r="C59" s="180">
        <v>158.1</v>
      </c>
      <c r="D59" s="132"/>
      <c r="E59" s="135"/>
      <c r="F59" s="1"/>
    </row>
    <row r="60" spans="1:7" ht="15.6" customHeight="1" x14ac:dyDescent="0.25">
      <c r="A60" s="176" t="s">
        <v>444</v>
      </c>
      <c r="B60" s="158" t="s">
        <v>27</v>
      </c>
      <c r="C60" s="180">
        <v>31</v>
      </c>
      <c r="D60" s="132"/>
      <c r="E60" s="135"/>
      <c r="F60" s="1"/>
    </row>
    <row r="61" spans="1:7" ht="15.6" customHeight="1" x14ac:dyDescent="0.25">
      <c r="A61" s="176" t="s">
        <v>445</v>
      </c>
      <c r="B61" s="158" t="s">
        <v>28</v>
      </c>
      <c r="C61" s="180">
        <v>3.26</v>
      </c>
      <c r="D61" s="132"/>
      <c r="E61" s="135"/>
      <c r="F61" s="1"/>
    </row>
    <row r="62" spans="1:7" ht="15.6" customHeight="1" x14ac:dyDescent="0.25">
      <c r="A62" s="176" t="s">
        <v>446</v>
      </c>
      <c r="B62" s="158" t="s">
        <v>29</v>
      </c>
      <c r="C62" s="180">
        <v>0.62</v>
      </c>
      <c r="D62" s="132"/>
      <c r="E62" s="135"/>
      <c r="F62" s="1"/>
    </row>
    <row r="63" spans="1:7" ht="18" customHeight="1" x14ac:dyDescent="0.25">
      <c r="A63" s="176" t="s">
        <v>447</v>
      </c>
      <c r="B63" s="158" t="s">
        <v>286</v>
      </c>
      <c r="C63" s="180">
        <v>45.9</v>
      </c>
      <c r="D63" s="132"/>
      <c r="E63" s="135"/>
      <c r="F63" s="1"/>
    </row>
    <row r="64" spans="1:7" ht="15.6" customHeight="1" x14ac:dyDescent="0.25">
      <c r="A64" s="176" t="s">
        <v>448</v>
      </c>
      <c r="B64" s="158" t="s">
        <v>30</v>
      </c>
      <c r="C64" s="180">
        <f>900.1</f>
        <v>900.1</v>
      </c>
      <c r="D64" s="132"/>
      <c r="E64" s="135"/>
      <c r="F64" s="1"/>
    </row>
    <row r="65" spans="1:9" ht="25.15" customHeight="1" x14ac:dyDescent="0.25">
      <c r="A65" s="176" t="s">
        <v>449</v>
      </c>
      <c r="B65" s="158" t="s">
        <v>137</v>
      </c>
      <c r="C65" s="180">
        <v>3.7</v>
      </c>
      <c r="D65" s="132"/>
      <c r="E65" s="135"/>
      <c r="F65" s="1"/>
    </row>
    <row r="66" spans="1:9" ht="15.6" customHeight="1" x14ac:dyDescent="0.25">
      <c r="A66" s="176" t="s">
        <v>450</v>
      </c>
      <c r="B66" s="158" t="s">
        <v>31</v>
      </c>
      <c r="C66" s="180">
        <v>151</v>
      </c>
      <c r="D66" s="132"/>
      <c r="E66" s="135"/>
      <c r="F66" s="1"/>
    </row>
    <row r="67" spans="1:9" ht="15.6" customHeight="1" x14ac:dyDescent="0.25">
      <c r="A67" s="176" t="s">
        <v>451</v>
      </c>
      <c r="B67" s="144" t="s">
        <v>32</v>
      </c>
      <c r="C67" s="180">
        <v>74.400000000000006</v>
      </c>
      <c r="D67" s="132"/>
      <c r="E67" s="135"/>
      <c r="F67" s="1"/>
    </row>
    <row r="68" spans="1:9" ht="15.6" customHeight="1" x14ac:dyDescent="0.25">
      <c r="A68" s="176" t="s">
        <v>452</v>
      </c>
      <c r="B68" s="181" t="s">
        <v>33</v>
      </c>
      <c r="C68" s="180">
        <v>12.9</v>
      </c>
      <c r="D68" s="132"/>
      <c r="E68" s="135"/>
      <c r="F68" s="1"/>
    </row>
    <row r="69" spans="1:9" ht="39" x14ac:dyDescent="0.25">
      <c r="A69" s="176" t="s">
        <v>453</v>
      </c>
      <c r="B69" s="3" t="s">
        <v>203</v>
      </c>
      <c r="C69" s="182">
        <v>412.82</v>
      </c>
      <c r="D69" s="109"/>
      <c r="E69" s="183"/>
      <c r="F69" s="1"/>
    </row>
    <row r="70" spans="1:9" ht="15.6" customHeight="1" x14ac:dyDescent="0.25">
      <c r="A70" s="176" t="s">
        <v>454</v>
      </c>
      <c r="B70" s="33" t="s">
        <v>34</v>
      </c>
      <c r="C70" s="184">
        <v>0.6</v>
      </c>
      <c r="D70" s="132"/>
      <c r="E70" s="183"/>
      <c r="F70" s="1"/>
    </row>
    <row r="71" spans="1:9" ht="15.6" customHeight="1" x14ac:dyDescent="0.25">
      <c r="A71" s="176" t="s">
        <v>455</v>
      </c>
      <c r="B71" s="33" t="s">
        <v>429</v>
      </c>
      <c r="C71" s="184">
        <v>38.595999999999997</v>
      </c>
      <c r="D71" s="132"/>
      <c r="E71" s="183"/>
      <c r="F71" s="1"/>
    </row>
    <row r="72" spans="1:9" ht="39" x14ac:dyDescent="0.25">
      <c r="A72" s="176" t="s">
        <v>456</v>
      </c>
      <c r="B72" s="187" t="s">
        <v>464</v>
      </c>
      <c r="C72" s="184">
        <v>24.419</v>
      </c>
      <c r="D72" s="132"/>
      <c r="E72" s="183"/>
      <c r="F72" s="1"/>
    </row>
    <row r="73" spans="1:9" ht="25.5" x14ac:dyDescent="0.25">
      <c r="A73" s="176" t="s">
        <v>465</v>
      </c>
      <c r="B73" s="5" t="s">
        <v>280</v>
      </c>
      <c r="C73" s="70">
        <v>66.456000000000003</v>
      </c>
      <c r="D73" s="132"/>
      <c r="E73" s="183"/>
      <c r="F73" s="1"/>
      <c r="I73" s="63"/>
    </row>
    <row r="74" spans="1:9" ht="15.6" customHeight="1" x14ac:dyDescent="0.25">
      <c r="A74" s="185">
        <v>39</v>
      </c>
      <c r="B74" s="186" t="s">
        <v>35</v>
      </c>
      <c r="C74" s="172">
        <v>25912.3</v>
      </c>
      <c r="D74" s="132"/>
      <c r="E74" s="109"/>
      <c r="F74" s="1"/>
    </row>
    <row r="75" spans="1:9" ht="27.75" customHeight="1" x14ac:dyDescent="0.25">
      <c r="A75" s="185">
        <f>+A74+1</f>
        <v>40</v>
      </c>
      <c r="B75" s="174" t="s">
        <v>36</v>
      </c>
      <c r="C75" s="175">
        <v>40</v>
      </c>
      <c r="D75" s="132"/>
      <c r="E75" s="132"/>
      <c r="F75" s="1"/>
    </row>
    <row r="76" spans="1:9" ht="27.75" customHeight="1" x14ac:dyDescent="0.25">
      <c r="A76" s="185">
        <f t="shared" ref="A76:A103" si="1">+A75+1</f>
        <v>41</v>
      </c>
      <c r="B76" s="3" t="s">
        <v>368</v>
      </c>
      <c r="C76" s="65">
        <v>9.532</v>
      </c>
      <c r="D76" s="132"/>
      <c r="E76" s="132"/>
      <c r="F76" s="1"/>
    </row>
    <row r="77" spans="1:9" ht="20.45" customHeight="1" x14ac:dyDescent="0.25">
      <c r="A77" s="185">
        <f t="shared" si="1"/>
        <v>42</v>
      </c>
      <c r="B77" s="3" t="s">
        <v>342</v>
      </c>
      <c r="C77" s="65">
        <v>266.03199999999998</v>
      </c>
      <c r="D77" s="132"/>
      <c r="E77" s="132"/>
      <c r="F77" s="1"/>
    </row>
    <row r="78" spans="1:9" ht="16.5" customHeight="1" x14ac:dyDescent="0.25">
      <c r="A78" s="185">
        <f t="shared" si="1"/>
        <v>43</v>
      </c>
      <c r="B78" s="46" t="s">
        <v>140</v>
      </c>
      <c r="C78" s="65">
        <f>143</f>
        <v>143</v>
      </c>
      <c r="D78" s="132"/>
      <c r="E78" s="132"/>
      <c r="F78" s="1"/>
    </row>
    <row r="79" spans="1:9" ht="17.45" customHeight="1" x14ac:dyDescent="0.25">
      <c r="A79" s="185">
        <f t="shared" si="1"/>
        <v>44</v>
      </c>
      <c r="B79" s="187" t="s">
        <v>136</v>
      </c>
      <c r="C79" s="65">
        <v>42.567999999999998</v>
      </c>
      <c r="D79" s="132"/>
      <c r="E79" s="132"/>
      <c r="F79" s="1"/>
    </row>
    <row r="80" spans="1:9" ht="17.25" customHeight="1" x14ac:dyDescent="0.25">
      <c r="A80" s="185">
        <v>45</v>
      </c>
      <c r="B80" s="187" t="s">
        <v>141</v>
      </c>
      <c r="C80" s="65">
        <v>130</v>
      </c>
      <c r="D80" s="132"/>
      <c r="E80" s="132"/>
      <c r="F80" s="1"/>
    </row>
    <row r="81" spans="1:8" ht="28.9" customHeight="1" x14ac:dyDescent="0.25">
      <c r="A81" s="185">
        <f t="shared" ref="A81" si="2">+A80+1</f>
        <v>46</v>
      </c>
      <c r="B81" s="188" t="s">
        <v>321</v>
      </c>
      <c r="C81" s="65">
        <f>75.036</f>
        <v>75.036000000000001</v>
      </c>
      <c r="D81" s="132"/>
      <c r="E81" s="132"/>
      <c r="F81" s="1"/>
    </row>
    <row r="82" spans="1:8" s="10" customFormat="1" ht="22.5" customHeight="1" x14ac:dyDescent="0.2">
      <c r="A82" s="185">
        <f t="shared" si="1"/>
        <v>47</v>
      </c>
      <c r="B82" s="189" t="s">
        <v>427</v>
      </c>
      <c r="C82" s="65">
        <f>52.569</f>
        <v>52.569000000000003</v>
      </c>
      <c r="D82" s="173"/>
      <c r="E82" s="173"/>
    </row>
    <row r="83" spans="1:8" s="10" customFormat="1" ht="22.5" customHeight="1" x14ac:dyDescent="0.2">
      <c r="A83" s="185">
        <f t="shared" si="1"/>
        <v>48</v>
      </c>
      <c r="B83" s="189" t="s">
        <v>357</v>
      </c>
      <c r="C83" s="65">
        <v>81.632999999999996</v>
      </c>
      <c r="D83" s="173"/>
      <c r="E83" s="173"/>
    </row>
    <row r="84" spans="1:8" s="10" customFormat="1" ht="22.5" customHeight="1" x14ac:dyDescent="0.2">
      <c r="A84" s="185">
        <f t="shared" si="1"/>
        <v>49</v>
      </c>
      <c r="B84" s="189" t="s">
        <v>358</v>
      </c>
      <c r="C84" s="65">
        <f>32.5</f>
        <v>32.5</v>
      </c>
      <c r="D84" s="173"/>
      <c r="E84" s="173"/>
    </row>
    <row r="85" spans="1:8" ht="27.6" customHeight="1" x14ac:dyDescent="0.25">
      <c r="A85" s="185">
        <f t="shared" si="1"/>
        <v>50</v>
      </c>
      <c r="B85" s="188" t="s">
        <v>370</v>
      </c>
      <c r="C85" s="65">
        <v>43.326999999999998</v>
      </c>
      <c r="D85" s="132"/>
      <c r="E85" s="132"/>
      <c r="F85" s="1"/>
    </row>
    <row r="86" spans="1:8" ht="27.6" customHeight="1" x14ac:dyDescent="0.25">
      <c r="A86" s="185">
        <v>51</v>
      </c>
      <c r="B86" s="190" t="s">
        <v>315</v>
      </c>
      <c r="C86" s="191">
        <v>30.954000000000001</v>
      </c>
      <c r="D86" s="132"/>
      <c r="E86" s="132"/>
      <c r="F86" s="1"/>
    </row>
    <row r="87" spans="1:8" s="10" customFormat="1" ht="21" customHeight="1" x14ac:dyDescent="0.2">
      <c r="A87" s="185">
        <f t="shared" ref="A87" si="3">+A86+1</f>
        <v>52</v>
      </c>
      <c r="B87" s="5" t="s">
        <v>236</v>
      </c>
      <c r="C87" s="65">
        <v>26.4</v>
      </c>
      <c r="D87" s="173"/>
      <c r="E87" s="173"/>
    </row>
    <row r="88" spans="1:8" ht="45" customHeight="1" x14ac:dyDescent="0.25">
      <c r="A88" s="185">
        <f t="shared" si="1"/>
        <v>53</v>
      </c>
      <c r="B88" s="110" t="s">
        <v>463</v>
      </c>
      <c r="C88" s="65">
        <f>86.4+5.2-2.9</f>
        <v>88.7</v>
      </c>
      <c r="D88" s="132"/>
      <c r="E88" s="132"/>
      <c r="F88" s="1"/>
    </row>
    <row r="89" spans="1:8" ht="25.5" x14ac:dyDescent="0.25">
      <c r="A89" s="185">
        <f t="shared" si="1"/>
        <v>54</v>
      </c>
      <c r="B89" s="169" t="s">
        <v>428</v>
      </c>
      <c r="C89" s="65">
        <v>30</v>
      </c>
      <c r="D89" s="132"/>
      <c r="E89" s="132"/>
      <c r="F89" s="1"/>
    </row>
    <row r="90" spans="1:8" s="10" customFormat="1" ht="30" customHeight="1" x14ac:dyDescent="0.2">
      <c r="A90" s="185">
        <f t="shared" si="1"/>
        <v>55</v>
      </c>
      <c r="B90" s="192" t="s">
        <v>144</v>
      </c>
      <c r="C90" s="65">
        <v>2348.6</v>
      </c>
      <c r="D90" s="173"/>
      <c r="E90" s="173"/>
    </row>
    <row r="91" spans="1:8" ht="15.6" customHeight="1" x14ac:dyDescent="0.25">
      <c r="A91" s="185">
        <f t="shared" si="1"/>
        <v>56</v>
      </c>
      <c r="B91" s="193" t="s">
        <v>468</v>
      </c>
      <c r="C91" s="194">
        <f>C42+C43</f>
        <v>98143.259000000005</v>
      </c>
      <c r="D91" s="132"/>
      <c r="E91" s="132"/>
      <c r="F91" s="1"/>
      <c r="H91" s="32"/>
    </row>
    <row r="92" spans="1:8" x14ac:dyDescent="0.25">
      <c r="A92" s="185">
        <v>57</v>
      </c>
      <c r="B92" s="195" t="s">
        <v>386</v>
      </c>
      <c r="C92" s="196">
        <f>C93+C99+C96+C97+C98+C94+C100+C101+C102+C95</f>
        <v>16587.058999999997</v>
      </c>
      <c r="D92" s="132"/>
      <c r="E92" s="109"/>
      <c r="F92" s="31"/>
    </row>
    <row r="93" spans="1:8" x14ac:dyDescent="0.25">
      <c r="A93" s="185">
        <f t="shared" ref="A93" si="4">+A92+1</f>
        <v>58</v>
      </c>
      <c r="B93" s="197" t="s">
        <v>37</v>
      </c>
      <c r="C93" s="198">
        <v>9612.5859999999993</v>
      </c>
      <c r="D93" s="132"/>
      <c r="E93" s="199"/>
      <c r="F93" s="200"/>
    </row>
    <row r="94" spans="1:8" x14ac:dyDescent="0.25">
      <c r="A94" s="185">
        <f t="shared" si="1"/>
        <v>59</v>
      </c>
      <c r="B94" s="201" t="s">
        <v>324</v>
      </c>
      <c r="C94" s="202">
        <v>94.290999999999997</v>
      </c>
      <c r="D94" s="132"/>
      <c r="E94" s="199"/>
      <c r="F94" s="1"/>
    </row>
    <row r="95" spans="1:8" x14ac:dyDescent="0.25">
      <c r="A95" s="185">
        <f t="shared" si="1"/>
        <v>60</v>
      </c>
      <c r="B95" s="203" t="s">
        <v>326</v>
      </c>
      <c r="C95" s="202">
        <v>841.84900000000005</v>
      </c>
      <c r="D95" s="132"/>
      <c r="E95" s="199"/>
      <c r="F95" s="1"/>
    </row>
    <row r="96" spans="1:8" x14ac:dyDescent="0.25">
      <c r="A96" s="185">
        <f t="shared" si="1"/>
        <v>61</v>
      </c>
      <c r="B96" s="204" t="s">
        <v>39</v>
      </c>
      <c r="C96" s="202">
        <v>339.32400000000001</v>
      </c>
      <c r="D96" s="132"/>
      <c r="E96" s="199"/>
      <c r="F96" s="1"/>
    </row>
    <row r="97" spans="1:8" x14ac:dyDescent="0.25">
      <c r="A97" s="185">
        <f t="shared" si="1"/>
        <v>62</v>
      </c>
      <c r="B97" s="204" t="s">
        <v>40</v>
      </c>
      <c r="C97" s="202">
        <v>53.381999999999998</v>
      </c>
      <c r="D97" s="132"/>
      <c r="E97" s="199"/>
      <c r="F97" s="1"/>
    </row>
    <row r="98" spans="1:8" x14ac:dyDescent="0.25">
      <c r="A98" s="185">
        <v>63</v>
      </c>
      <c r="B98" s="205" t="s">
        <v>316</v>
      </c>
      <c r="C98" s="202">
        <v>115.026</v>
      </c>
      <c r="D98" s="132"/>
      <c r="E98" s="199"/>
      <c r="F98" s="1"/>
    </row>
    <row r="99" spans="1:8" x14ac:dyDescent="0.25">
      <c r="A99" s="185">
        <f t="shared" ref="A99" si="5">+A98+1</f>
        <v>64</v>
      </c>
      <c r="B99" s="201" t="s">
        <v>38</v>
      </c>
      <c r="C99" s="202">
        <v>3086.665</v>
      </c>
      <c r="D99" s="132"/>
      <c r="E99" s="199"/>
      <c r="F99" s="1"/>
    </row>
    <row r="100" spans="1:8" x14ac:dyDescent="0.25">
      <c r="A100" s="185">
        <f t="shared" si="1"/>
        <v>65</v>
      </c>
      <c r="B100" s="204" t="s">
        <v>323</v>
      </c>
      <c r="C100" s="70">
        <f>1156.37+13.671</f>
        <v>1170.0409999999999</v>
      </c>
      <c r="D100" s="132"/>
      <c r="E100" s="206"/>
      <c r="F100" s="1"/>
      <c r="G100" s="31"/>
    </row>
    <row r="101" spans="1:8" x14ac:dyDescent="0.25">
      <c r="A101" s="185">
        <f t="shared" si="1"/>
        <v>66</v>
      </c>
      <c r="B101" s="204" t="s">
        <v>387</v>
      </c>
      <c r="C101" s="70">
        <v>318.09699999999998</v>
      </c>
      <c r="D101" s="132"/>
      <c r="E101" s="206"/>
      <c r="F101" s="1"/>
    </row>
    <row r="102" spans="1:8" x14ac:dyDescent="0.25">
      <c r="A102" s="185">
        <f t="shared" si="1"/>
        <v>67</v>
      </c>
      <c r="B102" s="204" t="s">
        <v>325</v>
      </c>
      <c r="C102" s="70">
        <v>955.798</v>
      </c>
      <c r="D102" s="132"/>
      <c r="E102" s="132"/>
      <c r="F102" s="1"/>
    </row>
    <row r="103" spans="1:8" ht="13.5" customHeight="1" x14ac:dyDescent="0.25">
      <c r="A103" s="185">
        <f t="shared" si="1"/>
        <v>68</v>
      </c>
      <c r="B103" s="207" t="s">
        <v>469</v>
      </c>
      <c r="C103" s="196">
        <f>C91+C92</f>
        <v>114730.318</v>
      </c>
      <c r="D103" s="132"/>
      <c r="E103" s="132"/>
      <c r="F103" s="1"/>
    </row>
    <row r="104" spans="1:8" ht="13.5" customHeight="1" x14ac:dyDescent="0.25">
      <c r="A104" s="208"/>
      <c r="B104" s="209"/>
      <c r="C104" s="210"/>
      <c r="D104" s="132"/>
      <c r="E104" s="132"/>
      <c r="F104" s="1"/>
    </row>
    <row r="105" spans="1:8" ht="15" customHeight="1" x14ac:dyDescent="0.25">
      <c r="B105" s="39"/>
      <c r="C105" s="38"/>
      <c r="D105" s="132"/>
      <c r="E105" s="132"/>
      <c r="F105" s="1"/>
      <c r="H105" s="31"/>
    </row>
    <row r="106" spans="1:8" ht="15" customHeight="1" x14ac:dyDescent="0.25">
      <c r="B106" s="211"/>
      <c r="C106" s="38"/>
      <c r="D106" s="132"/>
      <c r="E106" s="132"/>
      <c r="F106" s="1"/>
    </row>
    <row r="107" spans="1:8" ht="19.149999999999999" customHeight="1" x14ac:dyDescent="0.25">
      <c r="B107" s="40"/>
      <c r="C107" s="38"/>
    </row>
    <row r="108" spans="1:8" ht="17.45" customHeight="1" x14ac:dyDescent="0.25">
      <c r="B108" s="39"/>
      <c r="C108" s="38"/>
      <c r="D108" s="127"/>
    </row>
    <row r="109" spans="1:8" x14ac:dyDescent="0.25">
      <c r="B109" s="39"/>
      <c r="C109" s="36"/>
    </row>
    <row r="110" spans="1:8" x14ac:dyDescent="0.25">
      <c r="B110" s="64"/>
      <c r="C110" s="36"/>
    </row>
    <row r="111" spans="1:8" ht="13.5" customHeight="1" x14ac:dyDescent="0.25">
      <c r="B111" s="41"/>
      <c r="D111" s="128"/>
      <c r="F111" s="96"/>
    </row>
    <row r="112" spans="1:8" ht="13.5" customHeight="1" x14ac:dyDescent="0.25">
      <c r="B112" s="41"/>
    </row>
    <row r="113" spans="2:4" x14ac:dyDescent="0.25">
      <c r="D113" s="127"/>
    </row>
    <row r="115" spans="2:4" x14ac:dyDescent="0.25">
      <c r="B115" s="39"/>
      <c r="C115" s="38"/>
    </row>
    <row r="116" spans="2:4" x14ac:dyDescent="0.25">
      <c r="B116" s="39"/>
      <c r="C116" s="38"/>
    </row>
    <row r="117" spans="2:4" x14ac:dyDescent="0.25">
      <c r="B117" s="39"/>
      <c r="C117" s="38"/>
    </row>
    <row r="118" spans="2:4" x14ac:dyDescent="0.25">
      <c r="B118" s="39"/>
      <c r="C118" s="38"/>
    </row>
    <row r="119" spans="2:4" x14ac:dyDescent="0.25">
      <c r="B119" s="42"/>
      <c r="C119" s="43"/>
    </row>
  </sheetData>
  <phoneticPr fontId="40" type="noConversion"/>
  <pageMargins left="0.70866141732283472" right="0.70866141732283472" top="0.35433070866141736" bottom="0.35433070866141736" header="0.31496062992125984" footer="0.31496062992125984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94245-84A6-4B42-B9D9-9D3E190ACC32}">
  <sheetPr>
    <pageSetUpPr fitToPage="1"/>
  </sheetPr>
  <dimension ref="B1:H28"/>
  <sheetViews>
    <sheetView topLeftCell="A4" workbookViewId="0">
      <selection activeCell="H16" sqref="H16"/>
    </sheetView>
  </sheetViews>
  <sheetFormatPr defaultColWidth="9.140625" defaultRowHeight="12.75" x14ac:dyDescent="0.2"/>
  <cols>
    <col min="1" max="2" width="5.7109375" style="118" customWidth="1"/>
    <col min="3" max="3" width="43.140625" style="118" customWidth="1"/>
    <col min="4" max="4" width="9.85546875" style="118" customWidth="1"/>
    <col min="5" max="5" width="9.85546875" style="119" customWidth="1"/>
    <col min="6" max="6" width="12.28515625" style="119" customWidth="1"/>
    <col min="7" max="7" width="16.28515625" style="119" customWidth="1"/>
    <col min="8" max="16384" width="9.140625" style="118"/>
  </cols>
  <sheetData>
    <row r="1" spans="2:8" ht="15.75" x14ac:dyDescent="0.25">
      <c r="F1" s="124" t="s">
        <v>0</v>
      </c>
    </row>
    <row r="2" spans="2:8" ht="13.5" customHeight="1" x14ac:dyDescent="0.25">
      <c r="F2" s="124" t="s">
        <v>384</v>
      </c>
    </row>
    <row r="3" spans="2:8" ht="15.75" x14ac:dyDescent="0.25">
      <c r="E3" s="125"/>
      <c r="F3" s="124" t="s">
        <v>383</v>
      </c>
    </row>
    <row r="4" spans="2:8" ht="15.75" x14ac:dyDescent="0.25">
      <c r="F4" s="123" t="s">
        <v>289</v>
      </c>
    </row>
    <row r="7" spans="2:8" x14ac:dyDescent="0.2">
      <c r="H7" s="122"/>
    </row>
    <row r="8" spans="2:8" s="120" customFormat="1" ht="15.75" x14ac:dyDescent="0.25">
      <c r="B8" s="584" t="s">
        <v>382</v>
      </c>
      <c r="C8" s="584"/>
      <c r="D8" s="584"/>
      <c r="E8" s="584"/>
      <c r="F8" s="584"/>
      <c r="G8" s="584"/>
      <c r="H8" s="121"/>
    </row>
    <row r="9" spans="2:8" s="120" customFormat="1" ht="15.75" x14ac:dyDescent="0.25">
      <c r="B9" s="584" t="s">
        <v>290</v>
      </c>
      <c r="C9" s="584"/>
      <c r="D9" s="584"/>
      <c r="E9" s="584"/>
      <c r="F9" s="584"/>
      <c r="G9" s="584"/>
    </row>
    <row r="10" spans="2:8" s="120" customFormat="1" x14ac:dyDescent="0.2">
      <c r="B10" s="585"/>
      <c r="C10" s="585"/>
      <c r="D10" s="585"/>
      <c r="E10" s="585"/>
      <c r="F10" s="585"/>
      <c r="G10" s="465"/>
    </row>
    <row r="11" spans="2:8" s="120" customFormat="1" x14ac:dyDescent="0.2">
      <c r="B11" s="465"/>
      <c r="C11" s="465"/>
      <c r="D11" s="465"/>
      <c r="E11" s="465"/>
      <c r="F11" s="465"/>
      <c r="G11" s="465"/>
    </row>
    <row r="12" spans="2:8" s="120" customFormat="1" x14ac:dyDescent="0.2">
      <c r="B12" s="586" t="s">
        <v>192</v>
      </c>
      <c r="C12" s="588" t="s">
        <v>291</v>
      </c>
      <c r="D12" s="589" t="s">
        <v>381</v>
      </c>
      <c r="E12" s="588" t="s">
        <v>292</v>
      </c>
      <c r="F12" s="590" t="s">
        <v>336</v>
      </c>
      <c r="G12" s="588" t="s">
        <v>293</v>
      </c>
    </row>
    <row r="13" spans="2:8" s="120" customFormat="1" ht="18" customHeight="1" x14ac:dyDescent="0.2">
      <c r="B13" s="587"/>
      <c r="C13" s="588"/>
      <c r="D13" s="589"/>
      <c r="E13" s="588"/>
      <c r="F13" s="590"/>
      <c r="G13" s="588"/>
    </row>
    <row r="14" spans="2:8" s="120" customFormat="1" ht="15.75" x14ac:dyDescent="0.25">
      <c r="B14" s="468">
        <v>1</v>
      </c>
      <c r="C14" s="469" t="s">
        <v>294</v>
      </c>
      <c r="D14" s="470"/>
      <c r="E14" s="466"/>
      <c r="F14" s="466"/>
      <c r="G14" s="468"/>
    </row>
    <row r="15" spans="2:8" s="120" customFormat="1" ht="19.5" customHeight="1" x14ac:dyDescent="0.25">
      <c r="B15" s="466">
        <f t="shared" ref="B15:B25" si="0">+B14+1</f>
        <v>2</v>
      </c>
      <c r="C15" s="471" t="s">
        <v>380</v>
      </c>
      <c r="D15" s="466" t="s">
        <v>333</v>
      </c>
      <c r="E15" s="466">
        <v>3</v>
      </c>
      <c r="F15" s="472">
        <v>12660</v>
      </c>
      <c r="G15" s="468"/>
    </row>
    <row r="16" spans="2:8" s="120" customFormat="1" ht="24.75" customHeight="1" x14ac:dyDescent="0.25">
      <c r="B16" s="466">
        <f t="shared" si="0"/>
        <v>3</v>
      </c>
      <c r="C16" s="473" t="s">
        <v>379</v>
      </c>
      <c r="D16" s="466" t="s">
        <v>296</v>
      </c>
      <c r="E16" s="466">
        <v>0.53</v>
      </c>
      <c r="F16" s="472">
        <v>3283</v>
      </c>
      <c r="G16" s="468"/>
    </row>
    <row r="17" spans="2:7" s="120" customFormat="1" ht="18.75" customHeight="1" x14ac:dyDescent="0.25">
      <c r="B17" s="466">
        <f t="shared" si="0"/>
        <v>4</v>
      </c>
      <c r="C17" s="474" t="s">
        <v>295</v>
      </c>
      <c r="D17" s="466"/>
      <c r="E17" s="466"/>
      <c r="F17" s="466"/>
      <c r="G17" s="468"/>
    </row>
    <row r="18" spans="2:7" s="120" customFormat="1" ht="46.5" customHeight="1" x14ac:dyDescent="0.25">
      <c r="B18" s="466">
        <f t="shared" si="0"/>
        <v>5</v>
      </c>
      <c r="C18" s="475" t="s">
        <v>334</v>
      </c>
      <c r="D18" s="466"/>
      <c r="E18" s="466"/>
      <c r="F18" s="472">
        <v>22320</v>
      </c>
      <c r="G18" s="468"/>
    </row>
    <row r="19" spans="2:7" s="120" customFormat="1" ht="33" customHeight="1" x14ac:dyDescent="0.2">
      <c r="B19" s="466">
        <f t="shared" si="0"/>
        <v>6</v>
      </c>
      <c r="C19" s="475" t="s">
        <v>378</v>
      </c>
      <c r="D19" s="466" t="s">
        <v>296</v>
      </c>
      <c r="E19" s="466">
        <v>2.7</v>
      </c>
      <c r="F19" s="472">
        <v>26330</v>
      </c>
      <c r="G19" s="466" t="s">
        <v>377</v>
      </c>
    </row>
    <row r="20" spans="2:7" s="120" customFormat="1" ht="51" customHeight="1" x14ac:dyDescent="0.2">
      <c r="B20" s="466">
        <f t="shared" si="0"/>
        <v>7</v>
      </c>
      <c r="C20" s="475" t="s">
        <v>376</v>
      </c>
      <c r="D20" s="466" t="s">
        <v>296</v>
      </c>
      <c r="E20" s="466">
        <v>3.5</v>
      </c>
      <c r="F20" s="472">
        <v>6990</v>
      </c>
      <c r="G20" s="466" t="s">
        <v>375</v>
      </c>
    </row>
    <row r="21" spans="2:7" s="120" customFormat="1" ht="47.25" x14ac:dyDescent="0.25">
      <c r="B21" s="466">
        <f t="shared" si="0"/>
        <v>8</v>
      </c>
      <c r="C21" s="475" t="s">
        <v>297</v>
      </c>
      <c r="D21" s="467"/>
      <c r="E21" s="466"/>
      <c r="F21" s="466"/>
      <c r="G21" s="468"/>
    </row>
    <row r="22" spans="2:7" s="120" customFormat="1" ht="35.25" customHeight="1" x14ac:dyDescent="0.25">
      <c r="B22" s="466">
        <f t="shared" si="0"/>
        <v>9</v>
      </c>
      <c r="C22" s="475" t="s">
        <v>374</v>
      </c>
      <c r="D22" s="466" t="s">
        <v>298</v>
      </c>
      <c r="E22" s="466">
        <v>9797.2999999999993</v>
      </c>
      <c r="F22" s="466">
        <v>700</v>
      </c>
      <c r="G22" s="468"/>
    </row>
    <row r="23" spans="2:7" s="120" customFormat="1" ht="45" customHeight="1" x14ac:dyDescent="0.25">
      <c r="B23" s="466">
        <f t="shared" si="0"/>
        <v>10</v>
      </c>
      <c r="C23" s="475" t="s">
        <v>373</v>
      </c>
      <c r="D23" s="466"/>
      <c r="E23" s="466"/>
      <c r="F23" s="472">
        <v>1799</v>
      </c>
      <c r="G23" s="468"/>
    </row>
    <row r="24" spans="2:7" s="120" customFormat="1" ht="45" customHeight="1" x14ac:dyDescent="0.25">
      <c r="B24" s="466">
        <f t="shared" si="0"/>
        <v>11</v>
      </c>
      <c r="C24" s="475" t="s">
        <v>372</v>
      </c>
      <c r="D24" s="466"/>
      <c r="E24" s="466"/>
      <c r="F24" s="472">
        <v>159</v>
      </c>
      <c r="G24" s="468"/>
    </row>
    <row r="25" spans="2:7" s="120" customFormat="1" ht="45" customHeight="1" x14ac:dyDescent="0.25">
      <c r="B25" s="466">
        <f t="shared" si="0"/>
        <v>12</v>
      </c>
      <c r="C25" s="475" t="s">
        <v>371</v>
      </c>
      <c r="D25" s="466"/>
      <c r="E25" s="466"/>
      <c r="F25" s="472">
        <v>159</v>
      </c>
      <c r="G25" s="468"/>
    </row>
    <row r="26" spans="2:7" s="120" customFormat="1" ht="20.25" customHeight="1" x14ac:dyDescent="0.25">
      <c r="B26" s="468"/>
      <c r="C26" s="476" t="s">
        <v>4</v>
      </c>
      <c r="D26" s="477"/>
      <c r="E26" s="477"/>
      <c r="F26" s="478">
        <f>SUM(F14:F25)</f>
        <v>74400</v>
      </c>
      <c r="G26" s="468"/>
    </row>
    <row r="27" spans="2:7" s="120" customFormat="1" x14ac:dyDescent="0.2">
      <c r="E27" s="465"/>
      <c r="F27" s="465"/>
      <c r="G27" s="465"/>
    </row>
    <row r="28" spans="2:7" s="120" customFormat="1" ht="15.75" x14ac:dyDescent="0.2">
      <c r="C28" s="120" t="s">
        <v>335</v>
      </c>
      <c r="E28" s="465"/>
      <c r="F28" s="479"/>
      <c r="G28" s="465"/>
    </row>
  </sheetData>
  <mergeCells count="9">
    <mergeCell ref="B8:G8"/>
    <mergeCell ref="B9:G9"/>
    <mergeCell ref="B10:F10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scale="8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74"/>
  <sheetViews>
    <sheetView zoomScale="90" zoomScaleNormal="90" workbookViewId="0">
      <selection activeCell="H11" sqref="H11"/>
    </sheetView>
  </sheetViews>
  <sheetFormatPr defaultColWidth="6.28515625" defaultRowHeight="15" x14ac:dyDescent="0.25"/>
  <cols>
    <col min="1" max="1" width="4.28515625" style="1" bestFit="1" customWidth="1"/>
    <col min="2" max="2" width="47.5703125" style="1" customWidth="1"/>
    <col min="3" max="3" width="19.140625" style="1" customWidth="1"/>
    <col min="4" max="4" width="21.7109375" style="1" customWidth="1"/>
    <col min="5" max="5" width="16.28515625" style="1" bestFit="1" customWidth="1"/>
    <col min="6" max="6" width="13.85546875" style="1" customWidth="1"/>
    <col min="7" max="7" width="17.42578125" style="1" bestFit="1" customWidth="1"/>
    <col min="8" max="8" width="11.28515625" style="1" customWidth="1"/>
    <col min="9" max="230" width="9.140625" style="1" customWidth="1"/>
    <col min="231" max="231" width="2.85546875" style="1" customWidth="1"/>
    <col min="232" max="232" width="31.5703125" style="1" customWidth="1"/>
    <col min="233" max="233" width="8.140625" style="1" customWidth="1"/>
    <col min="234" max="234" width="7.28515625" style="1" customWidth="1"/>
    <col min="235" max="235" width="6.42578125" style="1" customWidth="1"/>
    <col min="236" max="236" width="6.28515625" style="1"/>
    <col min="237" max="237" width="2.85546875" style="1" customWidth="1"/>
    <col min="238" max="238" width="31.5703125" style="1" customWidth="1"/>
    <col min="239" max="239" width="8.140625" style="1" customWidth="1"/>
    <col min="240" max="240" width="7.28515625" style="1" customWidth="1"/>
    <col min="241" max="241" width="6.42578125" style="1" customWidth="1"/>
    <col min="242" max="242" width="6.28515625" style="1" customWidth="1"/>
    <col min="243" max="244" width="7.5703125" style="1" customWidth="1"/>
    <col min="245" max="246" width="7.140625" style="1" customWidth="1"/>
    <col min="247" max="247" width="7.42578125" style="1" customWidth="1"/>
    <col min="248" max="248" width="7.28515625" style="1" customWidth="1"/>
    <col min="249" max="249" width="5.140625" style="1" customWidth="1"/>
    <col min="250" max="250" width="4.7109375" style="1" customWidth="1"/>
    <col min="251" max="251" width="8.140625" style="1" customWidth="1"/>
    <col min="252" max="252" width="8" style="1" customWidth="1"/>
    <col min="253" max="253" width="8.140625" style="1" customWidth="1"/>
    <col min="254" max="254" width="8.28515625" style="1" customWidth="1"/>
    <col min="255" max="486" width="9.140625" style="1" customWidth="1"/>
    <col min="487" max="487" width="2.85546875" style="1" customWidth="1"/>
    <col min="488" max="488" width="31.5703125" style="1" customWidth="1"/>
    <col min="489" max="489" width="8.140625" style="1" customWidth="1"/>
    <col min="490" max="490" width="7.28515625" style="1" customWidth="1"/>
    <col min="491" max="491" width="6.42578125" style="1" customWidth="1"/>
    <col min="492" max="492" width="6.28515625" style="1"/>
    <col min="493" max="493" width="2.85546875" style="1" customWidth="1"/>
    <col min="494" max="494" width="31.5703125" style="1" customWidth="1"/>
    <col min="495" max="495" width="8.140625" style="1" customWidth="1"/>
    <col min="496" max="496" width="7.28515625" style="1" customWidth="1"/>
    <col min="497" max="497" width="6.42578125" style="1" customWidth="1"/>
    <col min="498" max="498" width="6.28515625" style="1" customWidth="1"/>
    <col min="499" max="500" width="7.5703125" style="1" customWidth="1"/>
    <col min="501" max="502" width="7.140625" style="1" customWidth="1"/>
    <col min="503" max="503" width="7.42578125" style="1" customWidth="1"/>
    <col min="504" max="504" width="7.28515625" style="1" customWidth="1"/>
    <col min="505" max="505" width="5.140625" style="1" customWidth="1"/>
    <col min="506" max="506" width="4.7109375" style="1" customWidth="1"/>
    <col min="507" max="507" width="8.140625" style="1" customWidth="1"/>
    <col min="508" max="508" width="8" style="1" customWidth="1"/>
    <col min="509" max="509" width="8.140625" style="1" customWidth="1"/>
    <col min="510" max="510" width="8.28515625" style="1" customWidth="1"/>
    <col min="511" max="742" width="9.140625" style="1" customWidth="1"/>
    <col min="743" max="743" width="2.85546875" style="1" customWidth="1"/>
    <col min="744" max="744" width="31.5703125" style="1" customWidth="1"/>
    <col min="745" max="745" width="8.140625" style="1" customWidth="1"/>
    <col min="746" max="746" width="7.28515625" style="1" customWidth="1"/>
    <col min="747" max="747" width="6.42578125" style="1" customWidth="1"/>
    <col min="748" max="748" width="6.28515625" style="1"/>
    <col min="749" max="749" width="2.85546875" style="1" customWidth="1"/>
    <col min="750" max="750" width="31.5703125" style="1" customWidth="1"/>
    <col min="751" max="751" width="8.140625" style="1" customWidth="1"/>
    <col min="752" max="752" width="7.28515625" style="1" customWidth="1"/>
    <col min="753" max="753" width="6.42578125" style="1" customWidth="1"/>
    <col min="754" max="754" width="6.28515625" style="1" customWidth="1"/>
    <col min="755" max="756" width="7.5703125" style="1" customWidth="1"/>
    <col min="757" max="758" width="7.140625" style="1" customWidth="1"/>
    <col min="759" max="759" width="7.42578125" style="1" customWidth="1"/>
    <col min="760" max="760" width="7.28515625" style="1" customWidth="1"/>
    <col min="761" max="761" width="5.140625" style="1" customWidth="1"/>
    <col min="762" max="762" width="4.7109375" style="1" customWidth="1"/>
    <col min="763" max="763" width="8.140625" style="1" customWidth="1"/>
    <col min="764" max="764" width="8" style="1" customWidth="1"/>
    <col min="765" max="765" width="8.140625" style="1" customWidth="1"/>
    <col min="766" max="766" width="8.28515625" style="1" customWidth="1"/>
    <col min="767" max="998" width="9.140625" style="1" customWidth="1"/>
    <col min="999" max="999" width="2.85546875" style="1" customWidth="1"/>
    <col min="1000" max="1000" width="31.5703125" style="1" customWidth="1"/>
    <col min="1001" max="1001" width="8.140625" style="1" customWidth="1"/>
    <col min="1002" max="1002" width="7.28515625" style="1" customWidth="1"/>
    <col min="1003" max="1003" width="6.42578125" style="1" customWidth="1"/>
    <col min="1004" max="1004" width="6.28515625" style="1"/>
    <col min="1005" max="1005" width="2.85546875" style="1" customWidth="1"/>
    <col min="1006" max="1006" width="31.5703125" style="1" customWidth="1"/>
    <col min="1007" max="1007" width="8.140625" style="1" customWidth="1"/>
    <col min="1008" max="1008" width="7.28515625" style="1" customWidth="1"/>
    <col min="1009" max="1009" width="6.42578125" style="1" customWidth="1"/>
    <col min="1010" max="1010" width="6.28515625" style="1" customWidth="1"/>
    <col min="1011" max="1012" width="7.5703125" style="1" customWidth="1"/>
    <col min="1013" max="1014" width="7.140625" style="1" customWidth="1"/>
    <col min="1015" max="1015" width="7.42578125" style="1" customWidth="1"/>
    <col min="1016" max="1016" width="7.28515625" style="1" customWidth="1"/>
    <col min="1017" max="1017" width="5.140625" style="1" customWidth="1"/>
    <col min="1018" max="1018" width="4.7109375" style="1" customWidth="1"/>
    <col min="1019" max="1019" width="8.140625" style="1" customWidth="1"/>
    <col min="1020" max="1020" width="8" style="1" customWidth="1"/>
    <col min="1021" max="1021" width="8.140625" style="1" customWidth="1"/>
    <col min="1022" max="1022" width="8.28515625" style="1" customWidth="1"/>
    <col min="1023" max="1254" width="9.140625" style="1" customWidth="1"/>
    <col min="1255" max="1255" width="2.85546875" style="1" customWidth="1"/>
    <col min="1256" max="1256" width="31.5703125" style="1" customWidth="1"/>
    <col min="1257" max="1257" width="8.140625" style="1" customWidth="1"/>
    <col min="1258" max="1258" width="7.28515625" style="1" customWidth="1"/>
    <col min="1259" max="1259" width="6.42578125" style="1" customWidth="1"/>
    <col min="1260" max="1260" width="6.28515625" style="1"/>
    <col min="1261" max="1261" width="2.85546875" style="1" customWidth="1"/>
    <col min="1262" max="1262" width="31.5703125" style="1" customWidth="1"/>
    <col min="1263" max="1263" width="8.140625" style="1" customWidth="1"/>
    <col min="1264" max="1264" width="7.28515625" style="1" customWidth="1"/>
    <col min="1265" max="1265" width="6.42578125" style="1" customWidth="1"/>
    <col min="1266" max="1266" width="6.28515625" style="1" customWidth="1"/>
    <col min="1267" max="1268" width="7.5703125" style="1" customWidth="1"/>
    <col min="1269" max="1270" width="7.140625" style="1" customWidth="1"/>
    <col min="1271" max="1271" width="7.42578125" style="1" customWidth="1"/>
    <col min="1272" max="1272" width="7.28515625" style="1" customWidth="1"/>
    <col min="1273" max="1273" width="5.140625" style="1" customWidth="1"/>
    <col min="1274" max="1274" width="4.7109375" style="1" customWidth="1"/>
    <col min="1275" max="1275" width="8.140625" style="1" customWidth="1"/>
    <col min="1276" max="1276" width="8" style="1" customWidth="1"/>
    <col min="1277" max="1277" width="8.140625" style="1" customWidth="1"/>
    <col min="1278" max="1278" width="8.28515625" style="1" customWidth="1"/>
    <col min="1279" max="1510" width="9.140625" style="1" customWidth="1"/>
    <col min="1511" max="1511" width="2.85546875" style="1" customWidth="1"/>
    <col min="1512" max="1512" width="31.5703125" style="1" customWidth="1"/>
    <col min="1513" max="1513" width="8.140625" style="1" customWidth="1"/>
    <col min="1514" max="1514" width="7.28515625" style="1" customWidth="1"/>
    <col min="1515" max="1515" width="6.42578125" style="1" customWidth="1"/>
    <col min="1516" max="1516" width="6.28515625" style="1"/>
    <col min="1517" max="1517" width="2.85546875" style="1" customWidth="1"/>
    <col min="1518" max="1518" width="31.5703125" style="1" customWidth="1"/>
    <col min="1519" max="1519" width="8.140625" style="1" customWidth="1"/>
    <col min="1520" max="1520" width="7.28515625" style="1" customWidth="1"/>
    <col min="1521" max="1521" width="6.42578125" style="1" customWidth="1"/>
    <col min="1522" max="1522" width="6.28515625" style="1" customWidth="1"/>
    <col min="1523" max="1524" width="7.5703125" style="1" customWidth="1"/>
    <col min="1525" max="1526" width="7.140625" style="1" customWidth="1"/>
    <col min="1527" max="1527" width="7.42578125" style="1" customWidth="1"/>
    <col min="1528" max="1528" width="7.28515625" style="1" customWidth="1"/>
    <col min="1529" max="1529" width="5.140625" style="1" customWidth="1"/>
    <col min="1530" max="1530" width="4.7109375" style="1" customWidth="1"/>
    <col min="1531" max="1531" width="8.140625" style="1" customWidth="1"/>
    <col min="1532" max="1532" width="8" style="1" customWidth="1"/>
    <col min="1533" max="1533" width="8.140625" style="1" customWidth="1"/>
    <col min="1534" max="1534" width="8.28515625" style="1" customWidth="1"/>
    <col min="1535" max="1766" width="9.140625" style="1" customWidth="1"/>
    <col min="1767" max="1767" width="2.85546875" style="1" customWidth="1"/>
    <col min="1768" max="1768" width="31.5703125" style="1" customWidth="1"/>
    <col min="1769" max="1769" width="8.140625" style="1" customWidth="1"/>
    <col min="1770" max="1770" width="7.28515625" style="1" customWidth="1"/>
    <col min="1771" max="1771" width="6.42578125" style="1" customWidth="1"/>
    <col min="1772" max="1772" width="6.28515625" style="1"/>
    <col min="1773" max="1773" width="2.85546875" style="1" customWidth="1"/>
    <col min="1774" max="1774" width="31.5703125" style="1" customWidth="1"/>
    <col min="1775" max="1775" width="8.140625" style="1" customWidth="1"/>
    <col min="1776" max="1776" width="7.28515625" style="1" customWidth="1"/>
    <col min="1777" max="1777" width="6.42578125" style="1" customWidth="1"/>
    <col min="1778" max="1778" width="6.28515625" style="1" customWidth="1"/>
    <col min="1779" max="1780" width="7.5703125" style="1" customWidth="1"/>
    <col min="1781" max="1782" width="7.140625" style="1" customWidth="1"/>
    <col min="1783" max="1783" width="7.42578125" style="1" customWidth="1"/>
    <col min="1784" max="1784" width="7.28515625" style="1" customWidth="1"/>
    <col min="1785" max="1785" width="5.140625" style="1" customWidth="1"/>
    <col min="1786" max="1786" width="4.7109375" style="1" customWidth="1"/>
    <col min="1787" max="1787" width="8.140625" style="1" customWidth="1"/>
    <col min="1788" max="1788" width="8" style="1" customWidth="1"/>
    <col min="1789" max="1789" width="8.140625" style="1" customWidth="1"/>
    <col min="1790" max="1790" width="8.28515625" style="1" customWidth="1"/>
    <col min="1791" max="2022" width="9.140625" style="1" customWidth="1"/>
    <col min="2023" max="2023" width="2.85546875" style="1" customWidth="1"/>
    <col min="2024" max="2024" width="31.5703125" style="1" customWidth="1"/>
    <col min="2025" max="2025" width="8.140625" style="1" customWidth="1"/>
    <col min="2026" max="2026" width="7.28515625" style="1" customWidth="1"/>
    <col min="2027" max="2027" width="6.42578125" style="1" customWidth="1"/>
    <col min="2028" max="2028" width="6.28515625" style="1"/>
    <col min="2029" max="2029" width="2.85546875" style="1" customWidth="1"/>
    <col min="2030" max="2030" width="31.5703125" style="1" customWidth="1"/>
    <col min="2031" max="2031" width="8.140625" style="1" customWidth="1"/>
    <col min="2032" max="2032" width="7.28515625" style="1" customWidth="1"/>
    <col min="2033" max="2033" width="6.42578125" style="1" customWidth="1"/>
    <col min="2034" max="2034" width="6.28515625" style="1" customWidth="1"/>
    <col min="2035" max="2036" width="7.5703125" style="1" customWidth="1"/>
    <col min="2037" max="2038" width="7.140625" style="1" customWidth="1"/>
    <col min="2039" max="2039" width="7.42578125" style="1" customWidth="1"/>
    <col min="2040" max="2040" width="7.28515625" style="1" customWidth="1"/>
    <col min="2041" max="2041" width="5.140625" style="1" customWidth="1"/>
    <col min="2042" max="2042" width="4.7109375" style="1" customWidth="1"/>
    <col min="2043" max="2043" width="8.140625" style="1" customWidth="1"/>
    <col min="2044" max="2044" width="8" style="1" customWidth="1"/>
    <col min="2045" max="2045" width="8.140625" style="1" customWidth="1"/>
    <col min="2046" max="2046" width="8.28515625" style="1" customWidth="1"/>
    <col min="2047" max="2278" width="9.140625" style="1" customWidth="1"/>
    <col min="2279" max="2279" width="2.85546875" style="1" customWidth="1"/>
    <col min="2280" max="2280" width="31.5703125" style="1" customWidth="1"/>
    <col min="2281" max="2281" width="8.140625" style="1" customWidth="1"/>
    <col min="2282" max="2282" width="7.28515625" style="1" customWidth="1"/>
    <col min="2283" max="2283" width="6.42578125" style="1" customWidth="1"/>
    <col min="2284" max="2284" width="6.28515625" style="1"/>
    <col min="2285" max="2285" width="2.85546875" style="1" customWidth="1"/>
    <col min="2286" max="2286" width="31.5703125" style="1" customWidth="1"/>
    <col min="2287" max="2287" width="8.140625" style="1" customWidth="1"/>
    <col min="2288" max="2288" width="7.28515625" style="1" customWidth="1"/>
    <col min="2289" max="2289" width="6.42578125" style="1" customWidth="1"/>
    <col min="2290" max="2290" width="6.28515625" style="1" customWidth="1"/>
    <col min="2291" max="2292" width="7.5703125" style="1" customWidth="1"/>
    <col min="2293" max="2294" width="7.140625" style="1" customWidth="1"/>
    <col min="2295" max="2295" width="7.42578125" style="1" customWidth="1"/>
    <col min="2296" max="2296" width="7.28515625" style="1" customWidth="1"/>
    <col min="2297" max="2297" width="5.140625" style="1" customWidth="1"/>
    <col min="2298" max="2298" width="4.7109375" style="1" customWidth="1"/>
    <col min="2299" max="2299" width="8.140625" style="1" customWidth="1"/>
    <col min="2300" max="2300" width="8" style="1" customWidth="1"/>
    <col min="2301" max="2301" width="8.140625" style="1" customWidth="1"/>
    <col min="2302" max="2302" width="8.28515625" style="1" customWidth="1"/>
    <col min="2303" max="2534" width="9.140625" style="1" customWidth="1"/>
    <col min="2535" max="2535" width="2.85546875" style="1" customWidth="1"/>
    <col min="2536" max="2536" width="31.5703125" style="1" customWidth="1"/>
    <col min="2537" max="2537" width="8.140625" style="1" customWidth="1"/>
    <col min="2538" max="2538" width="7.28515625" style="1" customWidth="1"/>
    <col min="2539" max="2539" width="6.42578125" style="1" customWidth="1"/>
    <col min="2540" max="2540" width="6.28515625" style="1"/>
    <col min="2541" max="2541" width="2.85546875" style="1" customWidth="1"/>
    <col min="2542" max="2542" width="31.5703125" style="1" customWidth="1"/>
    <col min="2543" max="2543" width="8.140625" style="1" customWidth="1"/>
    <col min="2544" max="2544" width="7.28515625" style="1" customWidth="1"/>
    <col min="2545" max="2545" width="6.42578125" style="1" customWidth="1"/>
    <col min="2546" max="2546" width="6.28515625" style="1" customWidth="1"/>
    <col min="2547" max="2548" width="7.5703125" style="1" customWidth="1"/>
    <col min="2549" max="2550" width="7.140625" style="1" customWidth="1"/>
    <col min="2551" max="2551" width="7.42578125" style="1" customWidth="1"/>
    <col min="2552" max="2552" width="7.28515625" style="1" customWidth="1"/>
    <col min="2553" max="2553" width="5.140625" style="1" customWidth="1"/>
    <col min="2554" max="2554" width="4.7109375" style="1" customWidth="1"/>
    <col min="2555" max="2555" width="8.140625" style="1" customWidth="1"/>
    <col min="2556" max="2556" width="8" style="1" customWidth="1"/>
    <col min="2557" max="2557" width="8.140625" style="1" customWidth="1"/>
    <col min="2558" max="2558" width="8.28515625" style="1" customWidth="1"/>
    <col min="2559" max="2790" width="9.140625" style="1" customWidth="1"/>
    <col min="2791" max="2791" width="2.85546875" style="1" customWidth="1"/>
    <col min="2792" max="2792" width="31.5703125" style="1" customWidth="1"/>
    <col min="2793" max="2793" width="8.140625" style="1" customWidth="1"/>
    <col min="2794" max="2794" width="7.28515625" style="1" customWidth="1"/>
    <col min="2795" max="2795" width="6.42578125" style="1" customWidth="1"/>
    <col min="2796" max="2796" width="6.28515625" style="1"/>
    <col min="2797" max="2797" width="2.85546875" style="1" customWidth="1"/>
    <col min="2798" max="2798" width="31.5703125" style="1" customWidth="1"/>
    <col min="2799" max="2799" width="8.140625" style="1" customWidth="1"/>
    <col min="2800" max="2800" width="7.28515625" style="1" customWidth="1"/>
    <col min="2801" max="2801" width="6.42578125" style="1" customWidth="1"/>
    <col min="2802" max="2802" width="6.28515625" style="1" customWidth="1"/>
    <col min="2803" max="2804" width="7.5703125" style="1" customWidth="1"/>
    <col min="2805" max="2806" width="7.140625" style="1" customWidth="1"/>
    <col min="2807" max="2807" width="7.42578125" style="1" customWidth="1"/>
    <col min="2808" max="2808" width="7.28515625" style="1" customWidth="1"/>
    <col min="2809" max="2809" width="5.140625" style="1" customWidth="1"/>
    <col min="2810" max="2810" width="4.7109375" style="1" customWidth="1"/>
    <col min="2811" max="2811" width="8.140625" style="1" customWidth="1"/>
    <col min="2812" max="2812" width="8" style="1" customWidth="1"/>
    <col min="2813" max="2813" width="8.140625" style="1" customWidth="1"/>
    <col min="2814" max="2814" width="8.28515625" style="1" customWidth="1"/>
    <col min="2815" max="3046" width="9.140625" style="1" customWidth="1"/>
    <col min="3047" max="3047" width="2.85546875" style="1" customWidth="1"/>
    <col min="3048" max="3048" width="31.5703125" style="1" customWidth="1"/>
    <col min="3049" max="3049" width="8.140625" style="1" customWidth="1"/>
    <col min="3050" max="3050" width="7.28515625" style="1" customWidth="1"/>
    <col min="3051" max="3051" width="6.42578125" style="1" customWidth="1"/>
    <col min="3052" max="3052" width="6.28515625" style="1"/>
    <col min="3053" max="3053" width="2.85546875" style="1" customWidth="1"/>
    <col min="3054" max="3054" width="31.5703125" style="1" customWidth="1"/>
    <col min="3055" max="3055" width="8.140625" style="1" customWidth="1"/>
    <col min="3056" max="3056" width="7.28515625" style="1" customWidth="1"/>
    <col min="3057" max="3057" width="6.42578125" style="1" customWidth="1"/>
    <col min="3058" max="3058" width="6.28515625" style="1" customWidth="1"/>
    <col min="3059" max="3060" width="7.5703125" style="1" customWidth="1"/>
    <col min="3061" max="3062" width="7.140625" style="1" customWidth="1"/>
    <col min="3063" max="3063" width="7.42578125" style="1" customWidth="1"/>
    <col min="3064" max="3064" width="7.28515625" style="1" customWidth="1"/>
    <col min="3065" max="3065" width="5.140625" style="1" customWidth="1"/>
    <col min="3066" max="3066" width="4.7109375" style="1" customWidth="1"/>
    <col min="3067" max="3067" width="8.140625" style="1" customWidth="1"/>
    <col min="3068" max="3068" width="8" style="1" customWidth="1"/>
    <col min="3069" max="3069" width="8.140625" style="1" customWidth="1"/>
    <col min="3070" max="3070" width="8.28515625" style="1" customWidth="1"/>
    <col min="3071" max="3302" width="9.140625" style="1" customWidth="1"/>
    <col min="3303" max="3303" width="2.85546875" style="1" customWidth="1"/>
    <col min="3304" max="3304" width="31.5703125" style="1" customWidth="1"/>
    <col min="3305" max="3305" width="8.140625" style="1" customWidth="1"/>
    <col min="3306" max="3306" width="7.28515625" style="1" customWidth="1"/>
    <col min="3307" max="3307" width="6.42578125" style="1" customWidth="1"/>
    <col min="3308" max="3308" width="6.28515625" style="1"/>
    <col min="3309" max="3309" width="2.85546875" style="1" customWidth="1"/>
    <col min="3310" max="3310" width="31.5703125" style="1" customWidth="1"/>
    <col min="3311" max="3311" width="8.140625" style="1" customWidth="1"/>
    <col min="3312" max="3312" width="7.28515625" style="1" customWidth="1"/>
    <col min="3313" max="3313" width="6.42578125" style="1" customWidth="1"/>
    <col min="3314" max="3314" width="6.28515625" style="1" customWidth="1"/>
    <col min="3315" max="3316" width="7.5703125" style="1" customWidth="1"/>
    <col min="3317" max="3318" width="7.140625" style="1" customWidth="1"/>
    <col min="3319" max="3319" width="7.42578125" style="1" customWidth="1"/>
    <col min="3320" max="3320" width="7.28515625" style="1" customWidth="1"/>
    <col min="3321" max="3321" width="5.140625" style="1" customWidth="1"/>
    <col min="3322" max="3322" width="4.7109375" style="1" customWidth="1"/>
    <col min="3323" max="3323" width="8.140625" style="1" customWidth="1"/>
    <col min="3324" max="3324" width="8" style="1" customWidth="1"/>
    <col min="3325" max="3325" width="8.140625" style="1" customWidth="1"/>
    <col min="3326" max="3326" width="8.28515625" style="1" customWidth="1"/>
    <col min="3327" max="3558" width="9.140625" style="1" customWidth="1"/>
    <col min="3559" max="3559" width="2.85546875" style="1" customWidth="1"/>
    <col min="3560" max="3560" width="31.5703125" style="1" customWidth="1"/>
    <col min="3561" max="3561" width="8.140625" style="1" customWidth="1"/>
    <col min="3562" max="3562" width="7.28515625" style="1" customWidth="1"/>
    <col min="3563" max="3563" width="6.42578125" style="1" customWidth="1"/>
    <col min="3564" max="3564" width="6.28515625" style="1"/>
    <col min="3565" max="3565" width="2.85546875" style="1" customWidth="1"/>
    <col min="3566" max="3566" width="31.5703125" style="1" customWidth="1"/>
    <col min="3567" max="3567" width="8.140625" style="1" customWidth="1"/>
    <col min="3568" max="3568" width="7.28515625" style="1" customWidth="1"/>
    <col min="3569" max="3569" width="6.42578125" style="1" customWidth="1"/>
    <col min="3570" max="3570" width="6.28515625" style="1" customWidth="1"/>
    <col min="3571" max="3572" width="7.5703125" style="1" customWidth="1"/>
    <col min="3573" max="3574" width="7.140625" style="1" customWidth="1"/>
    <col min="3575" max="3575" width="7.42578125" style="1" customWidth="1"/>
    <col min="3576" max="3576" width="7.28515625" style="1" customWidth="1"/>
    <col min="3577" max="3577" width="5.140625" style="1" customWidth="1"/>
    <col min="3578" max="3578" width="4.7109375" style="1" customWidth="1"/>
    <col min="3579" max="3579" width="8.140625" style="1" customWidth="1"/>
    <col min="3580" max="3580" width="8" style="1" customWidth="1"/>
    <col min="3581" max="3581" width="8.140625" style="1" customWidth="1"/>
    <col min="3582" max="3582" width="8.28515625" style="1" customWidth="1"/>
    <col min="3583" max="3814" width="9.140625" style="1" customWidth="1"/>
    <col min="3815" max="3815" width="2.85546875" style="1" customWidth="1"/>
    <col min="3816" max="3816" width="31.5703125" style="1" customWidth="1"/>
    <col min="3817" max="3817" width="8.140625" style="1" customWidth="1"/>
    <col min="3818" max="3818" width="7.28515625" style="1" customWidth="1"/>
    <col min="3819" max="3819" width="6.42578125" style="1" customWidth="1"/>
    <col min="3820" max="3820" width="6.28515625" style="1"/>
    <col min="3821" max="3821" width="2.85546875" style="1" customWidth="1"/>
    <col min="3822" max="3822" width="31.5703125" style="1" customWidth="1"/>
    <col min="3823" max="3823" width="8.140625" style="1" customWidth="1"/>
    <col min="3824" max="3824" width="7.28515625" style="1" customWidth="1"/>
    <col min="3825" max="3825" width="6.42578125" style="1" customWidth="1"/>
    <col min="3826" max="3826" width="6.28515625" style="1" customWidth="1"/>
    <col min="3827" max="3828" width="7.5703125" style="1" customWidth="1"/>
    <col min="3829" max="3830" width="7.140625" style="1" customWidth="1"/>
    <col min="3831" max="3831" width="7.42578125" style="1" customWidth="1"/>
    <col min="3832" max="3832" width="7.28515625" style="1" customWidth="1"/>
    <col min="3833" max="3833" width="5.140625" style="1" customWidth="1"/>
    <col min="3834" max="3834" width="4.7109375" style="1" customWidth="1"/>
    <col min="3835" max="3835" width="8.140625" style="1" customWidth="1"/>
    <col min="3836" max="3836" width="8" style="1" customWidth="1"/>
    <col min="3837" max="3837" width="8.140625" style="1" customWidth="1"/>
    <col min="3838" max="3838" width="8.28515625" style="1" customWidth="1"/>
    <col min="3839" max="4070" width="9.140625" style="1" customWidth="1"/>
    <col min="4071" max="4071" width="2.85546875" style="1" customWidth="1"/>
    <col min="4072" max="4072" width="31.5703125" style="1" customWidth="1"/>
    <col min="4073" max="4073" width="8.140625" style="1" customWidth="1"/>
    <col min="4074" max="4074" width="7.28515625" style="1" customWidth="1"/>
    <col min="4075" max="4075" width="6.42578125" style="1" customWidth="1"/>
    <col min="4076" max="4076" width="6.28515625" style="1"/>
    <col min="4077" max="4077" width="2.85546875" style="1" customWidth="1"/>
    <col min="4078" max="4078" width="31.5703125" style="1" customWidth="1"/>
    <col min="4079" max="4079" width="8.140625" style="1" customWidth="1"/>
    <col min="4080" max="4080" width="7.28515625" style="1" customWidth="1"/>
    <col min="4081" max="4081" width="6.42578125" style="1" customWidth="1"/>
    <col min="4082" max="4082" width="6.28515625" style="1" customWidth="1"/>
    <col min="4083" max="4084" width="7.5703125" style="1" customWidth="1"/>
    <col min="4085" max="4086" width="7.140625" style="1" customWidth="1"/>
    <col min="4087" max="4087" width="7.42578125" style="1" customWidth="1"/>
    <col min="4088" max="4088" width="7.28515625" style="1" customWidth="1"/>
    <col min="4089" max="4089" width="5.140625" style="1" customWidth="1"/>
    <col min="4090" max="4090" width="4.7109375" style="1" customWidth="1"/>
    <col min="4091" max="4091" width="8.140625" style="1" customWidth="1"/>
    <col min="4092" max="4092" width="8" style="1" customWidth="1"/>
    <col min="4093" max="4093" width="8.140625" style="1" customWidth="1"/>
    <col min="4094" max="4094" width="8.28515625" style="1" customWidth="1"/>
    <col min="4095" max="4326" width="9.140625" style="1" customWidth="1"/>
    <col min="4327" max="4327" width="2.85546875" style="1" customWidth="1"/>
    <col min="4328" max="4328" width="31.5703125" style="1" customWidth="1"/>
    <col min="4329" max="4329" width="8.140625" style="1" customWidth="1"/>
    <col min="4330" max="4330" width="7.28515625" style="1" customWidth="1"/>
    <col min="4331" max="4331" width="6.42578125" style="1" customWidth="1"/>
    <col min="4332" max="4332" width="6.28515625" style="1"/>
    <col min="4333" max="4333" width="2.85546875" style="1" customWidth="1"/>
    <col min="4334" max="4334" width="31.5703125" style="1" customWidth="1"/>
    <col min="4335" max="4335" width="8.140625" style="1" customWidth="1"/>
    <col min="4336" max="4336" width="7.28515625" style="1" customWidth="1"/>
    <col min="4337" max="4337" width="6.42578125" style="1" customWidth="1"/>
    <col min="4338" max="4338" width="6.28515625" style="1" customWidth="1"/>
    <col min="4339" max="4340" width="7.5703125" style="1" customWidth="1"/>
    <col min="4341" max="4342" width="7.140625" style="1" customWidth="1"/>
    <col min="4343" max="4343" width="7.42578125" style="1" customWidth="1"/>
    <col min="4344" max="4344" width="7.28515625" style="1" customWidth="1"/>
    <col min="4345" max="4345" width="5.140625" style="1" customWidth="1"/>
    <col min="4346" max="4346" width="4.7109375" style="1" customWidth="1"/>
    <col min="4347" max="4347" width="8.140625" style="1" customWidth="1"/>
    <col min="4348" max="4348" width="8" style="1" customWidth="1"/>
    <col min="4349" max="4349" width="8.140625" style="1" customWidth="1"/>
    <col min="4350" max="4350" width="8.28515625" style="1" customWidth="1"/>
    <col min="4351" max="4582" width="9.140625" style="1" customWidth="1"/>
    <col min="4583" max="4583" width="2.85546875" style="1" customWidth="1"/>
    <col min="4584" max="4584" width="31.5703125" style="1" customWidth="1"/>
    <col min="4585" max="4585" width="8.140625" style="1" customWidth="1"/>
    <col min="4586" max="4586" width="7.28515625" style="1" customWidth="1"/>
    <col min="4587" max="4587" width="6.42578125" style="1" customWidth="1"/>
    <col min="4588" max="4588" width="6.28515625" style="1"/>
    <col min="4589" max="4589" width="2.85546875" style="1" customWidth="1"/>
    <col min="4590" max="4590" width="31.5703125" style="1" customWidth="1"/>
    <col min="4591" max="4591" width="8.140625" style="1" customWidth="1"/>
    <col min="4592" max="4592" width="7.28515625" style="1" customWidth="1"/>
    <col min="4593" max="4593" width="6.42578125" style="1" customWidth="1"/>
    <col min="4594" max="4594" width="6.28515625" style="1" customWidth="1"/>
    <col min="4595" max="4596" width="7.5703125" style="1" customWidth="1"/>
    <col min="4597" max="4598" width="7.140625" style="1" customWidth="1"/>
    <col min="4599" max="4599" width="7.42578125" style="1" customWidth="1"/>
    <col min="4600" max="4600" width="7.28515625" style="1" customWidth="1"/>
    <col min="4601" max="4601" width="5.140625" style="1" customWidth="1"/>
    <col min="4602" max="4602" width="4.7109375" style="1" customWidth="1"/>
    <col min="4603" max="4603" width="8.140625" style="1" customWidth="1"/>
    <col min="4604" max="4604" width="8" style="1" customWidth="1"/>
    <col min="4605" max="4605" width="8.140625" style="1" customWidth="1"/>
    <col min="4606" max="4606" width="8.28515625" style="1" customWidth="1"/>
    <col min="4607" max="4838" width="9.140625" style="1" customWidth="1"/>
    <col min="4839" max="4839" width="2.85546875" style="1" customWidth="1"/>
    <col min="4840" max="4840" width="31.5703125" style="1" customWidth="1"/>
    <col min="4841" max="4841" width="8.140625" style="1" customWidth="1"/>
    <col min="4842" max="4842" width="7.28515625" style="1" customWidth="1"/>
    <col min="4843" max="4843" width="6.42578125" style="1" customWidth="1"/>
    <col min="4844" max="4844" width="6.28515625" style="1"/>
    <col min="4845" max="4845" width="2.85546875" style="1" customWidth="1"/>
    <col min="4846" max="4846" width="31.5703125" style="1" customWidth="1"/>
    <col min="4847" max="4847" width="8.140625" style="1" customWidth="1"/>
    <col min="4848" max="4848" width="7.28515625" style="1" customWidth="1"/>
    <col min="4849" max="4849" width="6.42578125" style="1" customWidth="1"/>
    <col min="4850" max="4850" width="6.28515625" style="1" customWidth="1"/>
    <col min="4851" max="4852" width="7.5703125" style="1" customWidth="1"/>
    <col min="4853" max="4854" width="7.140625" style="1" customWidth="1"/>
    <col min="4855" max="4855" width="7.42578125" style="1" customWidth="1"/>
    <col min="4856" max="4856" width="7.28515625" style="1" customWidth="1"/>
    <col min="4857" max="4857" width="5.140625" style="1" customWidth="1"/>
    <col min="4858" max="4858" width="4.7109375" style="1" customWidth="1"/>
    <col min="4859" max="4859" width="8.140625" style="1" customWidth="1"/>
    <col min="4860" max="4860" width="8" style="1" customWidth="1"/>
    <col min="4861" max="4861" width="8.140625" style="1" customWidth="1"/>
    <col min="4862" max="4862" width="8.28515625" style="1" customWidth="1"/>
    <col min="4863" max="5094" width="9.140625" style="1" customWidth="1"/>
    <col min="5095" max="5095" width="2.85546875" style="1" customWidth="1"/>
    <col min="5096" max="5096" width="31.5703125" style="1" customWidth="1"/>
    <col min="5097" max="5097" width="8.140625" style="1" customWidth="1"/>
    <col min="5098" max="5098" width="7.28515625" style="1" customWidth="1"/>
    <col min="5099" max="5099" width="6.42578125" style="1" customWidth="1"/>
    <col min="5100" max="5100" width="6.28515625" style="1"/>
    <col min="5101" max="5101" width="2.85546875" style="1" customWidth="1"/>
    <col min="5102" max="5102" width="31.5703125" style="1" customWidth="1"/>
    <col min="5103" max="5103" width="8.140625" style="1" customWidth="1"/>
    <col min="5104" max="5104" width="7.28515625" style="1" customWidth="1"/>
    <col min="5105" max="5105" width="6.42578125" style="1" customWidth="1"/>
    <col min="5106" max="5106" width="6.28515625" style="1" customWidth="1"/>
    <col min="5107" max="5108" width="7.5703125" style="1" customWidth="1"/>
    <col min="5109" max="5110" width="7.140625" style="1" customWidth="1"/>
    <col min="5111" max="5111" width="7.42578125" style="1" customWidth="1"/>
    <col min="5112" max="5112" width="7.28515625" style="1" customWidth="1"/>
    <col min="5113" max="5113" width="5.140625" style="1" customWidth="1"/>
    <col min="5114" max="5114" width="4.7109375" style="1" customWidth="1"/>
    <col min="5115" max="5115" width="8.140625" style="1" customWidth="1"/>
    <col min="5116" max="5116" width="8" style="1" customWidth="1"/>
    <col min="5117" max="5117" width="8.140625" style="1" customWidth="1"/>
    <col min="5118" max="5118" width="8.28515625" style="1" customWidth="1"/>
    <col min="5119" max="5350" width="9.140625" style="1" customWidth="1"/>
    <col min="5351" max="5351" width="2.85546875" style="1" customWidth="1"/>
    <col min="5352" max="5352" width="31.5703125" style="1" customWidth="1"/>
    <col min="5353" max="5353" width="8.140625" style="1" customWidth="1"/>
    <col min="5354" max="5354" width="7.28515625" style="1" customWidth="1"/>
    <col min="5355" max="5355" width="6.42578125" style="1" customWidth="1"/>
    <col min="5356" max="5356" width="6.28515625" style="1"/>
    <col min="5357" max="5357" width="2.85546875" style="1" customWidth="1"/>
    <col min="5358" max="5358" width="31.5703125" style="1" customWidth="1"/>
    <col min="5359" max="5359" width="8.140625" style="1" customWidth="1"/>
    <col min="5360" max="5360" width="7.28515625" style="1" customWidth="1"/>
    <col min="5361" max="5361" width="6.42578125" style="1" customWidth="1"/>
    <col min="5362" max="5362" width="6.28515625" style="1" customWidth="1"/>
    <col min="5363" max="5364" width="7.5703125" style="1" customWidth="1"/>
    <col min="5365" max="5366" width="7.140625" style="1" customWidth="1"/>
    <col min="5367" max="5367" width="7.42578125" style="1" customWidth="1"/>
    <col min="5368" max="5368" width="7.28515625" style="1" customWidth="1"/>
    <col min="5369" max="5369" width="5.140625" style="1" customWidth="1"/>
    <col min="5370" max="5370" width="4.7109375" style="1" customWidth="1"/>
    <col min="5371" max="5371" width="8.140625" style="1" customWidth="1"/>
    <col min="5372" max="5372" width="8" style="1" customWidth="1"/>
    <col min="5373" max="5373" width="8.140625" style="1" customWidth="1"/>
    <col min="5374" max="5374" width="8.28515625" style="1" customWidth="1"/>
    <col min="5375" max="5606" width="9.140625" style="1" customWidth="1"/>
    <col min="5607" max="5607" width="2.85546875" style="1" customWidth="1"/>
    <col min="5608" max="5608" width="31.5703125" style="1" customWidth="1"/>
    <col min="5609" max="5609" width="8.140625" style="1" customWidth="1"/>
    <col min="5610" max="5610" width="7.28515625" style="1" customWidth="1"/>
    <col min="5611" max="5611" width="6.42578125" style="1" customWidth="1"/>
    <col min="5612" max="5612" width="6.28515625" style="1"/>
    <col min="5613" max="5613" width="2.85546875" style="1" customWidth="1"/>
    <col min="5614" max="5614" width="31.5703125" style="1" customWidth="1"/>
    <col min="5615" max="5615" width="8.140625" style="1" customWidth="1"/>
    <col min="5616" max="5616" width="7.28515625" style="1" customWidth="1"/>
    <col min="5617" max="5617" width="6.42578125" style="1" customWidth="1"/>
    <col min="5618" max="5618" width="6.28515625" style="1" customWidth="1"/>
    <col min="5619" max="5620" width="7.5703125" style="1" customWidth="1"/>
    <col min="5621" max="5622" width="7.140625" style="1" customWidth="1"/>
    <col min="5623" max="5623" width="7.42578125" style="1" customWidth="1"/>
    <col min="5624" max="5624" width="7.28515625" style="1" customWidth="1"/>
    <col min="5625" max="5625" width="5.140625" style="1" customWidth="1"/>
    <col min="5626" max="5626" width="4.7109375" style="1" customWidth="1"/>
    <col min="5627" max="5627" width="8.140625" style="1" customWidth="1"/>
    <col min="5628" max="5628" width="8" style="1" customWidth="1"/>
    <col min="5629" max="5629" width="8.140625" style="1" customWidth="1"/>
    <col min="5630" max="5630" width="8.28515625" style="1" customWidth="1"/>
    <col min="5631" max="5862" width="9.140625" style="1" customWidth="1"/>
    <col min="5863" max="5863" width="2.85546875" style="1" customWidth="1"/>
    <col min="5864" max="5864" width="31.5703125" style="1" customWidth="1"/>
    <col min="5865" max="5865" width="8.140625" style="1" customWidth="1"/>
    <col min="5866" max="5866" width="7.28515625" style="1" customWidth="1"/>
    <col min="5867" max="5867" width="6.42578125" style="1" customWidth="1"/>
    <col min="5868" max="5868" width="6.28515625" style="1"/>
    <col min="5869" max="5869" width="2.85546875" style="1" customWidth="1"/>
    <col min="5870" max="5870" width="31.5703125" style="1" customWidth="1"/>
    <col min="5871" max="5871" width="8.140625" style="1" customWidth="1"/>
    <col min="5872" max="5872" width="7.28515625" style="1" customWidth="1"/>
    <col min="5873" max="5873" width="6.42578125" style="1" customWidth="1"/>
    <col min="5874" max="5874" width="6.28515625" style="1" customWidth="1"/>
    <col min="5875" max="5876" width="7.5703125" style="1" customWidth="1"/>
    <col min="5877" max="5878" width="7.140625" style="1" customWidth="1"/>
    <col min="5879" max="5879" width="7.42578125" style="1" customWidth="1"/>
    <col min="5880" max="5880" width="7.28515625" style="1" customWidth="1"/>
    <col min="5881" max="5881" width="5.140625" style="1" customWidth="1"/>
    <col min="5882" max="5882" width="4.7109375" style="1" customWidth="1"/>
    <col min="5883" max="5883" width="8.140625" style="1" customWidth="1"/>
    <col min="5884" max="5884" width="8" style="1" customWidth="1"/>
    <col min="5885" max="5885" width="8.140625" style="1" customWidth="1"/>
    <col min="5886" max="5886" width="8.28515625" style="1" customWidth="1"/>
    <col min="5887" max="6118" width="9.140625" style="1" customWidth="1"/>
    <col min="6119" max="6119" width="2.85546875" style="1" customWidth="1"/>
    <col min="6120" max="6120" width="31.5703125" style="1" customWidth="1"/>
    <col min="6121" max="6121" width="8.140625" style="1" customWidth="1"/>
    <col min="6122" max="6122" width="7.28515625" style="1" customWidth="1"/>
    <col min="6123" max="6123" width="6.42578125" style="1" customWidth="1"/>
    <col min="6124" max="6124" width="6.28515625" style="1"/>
    <col min="6125" max="6125" width="2.85546875" style="1" customWidth="1"/>
    <col min="6126" max="6126" width="31.5703125" style="1" customWidth="1"/>
    <col min="6127" max="6127" width="8.140625" style="1" customWidth="1"/>
    <col min="6128" max="6128" width="7.28515625" style="1" customWidth="1"/>
    <col min="6129" max="6129" width="6.42578125" style="1" customWidth="1"/>
    <col min="6130" max="6130" width="6.28515625" style="1" customWidth="1"/>
    <col min="6131" max="6132" width="7.5703125" style="1" customWidth="1"/>
    <col min="6133" max="6134" width="7.140625" style="1" customWidth="1"/>
    <col min="6135" max="6135" width="7.42578125" style="1" customWidth="1"/>
    <col min="6136" max="6136" width="7.28515625" style="1" customWidth="1"/>
    <col min="6137" max="6137" width="5.140625" style="1" customWidth="1"/>
    <col min="6138" max="6138" width="4.7109375" style="1" customWidth="1"/>
    <col min="6139" max="6139" width="8.140625" style="1" customWidth="1"/>
    <col min="6140" max="6140" width="8" style="1" customWidth="1"/>
    <col min="6141" max="6141" width="8.140625" style="1" customWidth="1"/>
    <col min="6142" max="6142" width="8.28515625" style="1" customWidth="1"/>
    <col min="6143" max="6374" width="9.140625" style="1" customWidth="1"/>
    <col min="6375" max="6375" width="2.85546875" style="1" customWidth="1"/>
    <col min="6376" max="6376" width="31.5703125" style="1" customWidth="1"/>
    <col min="6377" max="6377" width="8.140625" style="1" customWidth="1"/>
    <col min="6378" max="6378" width="7.28515625" style="1" customWidth="1"/>
    <col min="6379" max="6379" width="6.42578125" style="1" customWidth="1"/>
    <col min="6380" max="6380" width="6.28515625" style="1"/>
    <col min="6381" max="6381" width="2.85546875" style="1" customWidth="1"/>
    <col min="6382" max="6382" width="31.5703125" style="1" customWidth="1"/>
    <col min="6383" max="6383" width="8.140625" style="1" customWidth="1"/>
    <col min="6384" max="6384" width="7.28515625" style="1" customWidth="1"/>
    <col min="6385" max="6385" width="6.42578125" style="1" customWidth="1"/>
    <col min="6386" max="6386" width="6.28515625" style="1" customWidth="1"/>
    <col min="6387" max="6388" width="7.5703125" style="1" customWidth="1"/>
    <col min="6389" max="6390" width="7.140625" style="1" customWidth="1"/>
    <col min="6391" max="6391" width="7.42578125" style="1" customWidth="1"/>
    <col min="6392" max="6392" width="7.28515625" style="1" customWidth="1"/>
    <col min="6393" max="6393" width="5.140625" style="1" customWidth="1"/>
    <col min="6394" max="6394" width="4.7109375" style="1" customWidth="1"/>
    <col min="6395" max="6395" width="8.140625" style="1" customWidth="1"/>
    <col min="6396" max="6396" width="8" style="1" customWidth="1"/>
    <col min="6397" max="6397" width="8.140625" style="1" customWidth="1"/>
    <col min="6398" max="6398" width="8.28515625" style="1" customWidth="1"/>
    <col min="6399" max="6630" width="9.140625" style="1" customWidth="1"/>
    <col min="6631" max="6631" width="2.85546875" style="1" customWidth="1"/>
    <col min="6632" max="6632" width="31.5703125" style="1" customWidth="1"/>
    <col min="6633" max="6633" width="8.140625" style="1" customWidth="1"/>
    <col min="6634" max="6634" width="7.28515625" style="1" customWidth="1"/>
    <col min="6635" max="6635" width="6.42578125" style="1" customWidth="1"/>
    <col min="6636" max="6636" width="6.28515625" style="1"/>
    <col min="6637" max="6637" width="2.85546875" style="1" customWidth="1"/>
    <col min="6638" max="6638" width="31.5703125" style="1" customWidth="1"/>
    <col min="6639" max="6639" width="8.140625" style="1" customWidth="1"/>
    <col min="6640" max="6640" width="7.28515625" style="1" customWidth="1"/>
    <col min="6641" max="6641" width="6.42578125" style="1" customWidth="1"/>
    <col min="6642" max="6642" width="6.28515625" style="1" customWidth="1"/>
    <col min="6643" max="6644" width="7.5703125" style="1" customWidth="1"/>
    <col min="6645" max="6646" width="7.140625" style="1" customWidth="1"/>
    <col min="6647" max="6647" width="7.42578125" style="1" customWidth="1"/>
    <col min="6648" max="6648" width="7.28515625" style="1" customWidth="1"/>
    <col min="6649" max="6649" width="5.140625" style="1" customWidth="1"/>
    <col min="6650" max="6650" width="4.7109375" style="1" customWidth="1"/>
    <col min="6651" max="6651" width="8.140625" style="1" customWidth="1"/>
    <col min="6652" max="6652" width="8" style="1" customWidth="1"/>
    <col min="6653" max="6653" width="8.140625" style="1" customWidth="1"/>
    <col min="6654" max="6654" width="8.28515625" style="1" customWidth="1"/>
    <col min="6655" max="6886" width="9.140625" style="1" customWidth="1"/>
    <col min="6887" max="6887" width="2.85546875" style="1" customWidth="1"/>
    <col min="6888" max="6888" width="31.5703125" style="1" customWidth="1"/>
    <col min="6889" max="6889" width="8.140625" style="1" customWidth="1"/>
    <col min="6890" max="6890" width="7.28515625" style="1" customWidth="1"/>
    <col min="6891" max="6891" width="6.42578125" style="1" customWidth="1"/>
    <col min="6892" max="6892" width="6.28515625" style="1"/>
    <col min="6893" max="6893" width="2.85546875" style="1" customWidth="1"/>
    <col min="6894" max="6894" width="31.5703125" style="1" customWidth="1"/>
    <col min="6895" max="6895" width="8.140625" style="1" customWidth="1"/>
    <col min="6896" max="6896" width="7.28515625" style="1" customWidth="1"/>
    <col min="6897" max="6897" width="6.42578125" style="1" customWidth="1"/>
    <col min="6898" max="6898" width="6.28515625" style="1" customWidth="1"/>
    <col min="6899" max="6900" width="7.5703125" style="1" customWidth="1"/>
    <col min="6901" max="6902" width="7.140625" style="1" customWidth="1"/>
    <col min="6903" max="6903" width="7.42578125" style="1" customWidth="1"/>
    <col min="6904" max="6904" width="7.28515625" style="1" customWidth="1"/>
    <col min="6905" max="6905" width="5.140625" style="1" customWidth="1"/>
    <col min="6906" max="6906" width="4.7109375" style="1" customWidth="1"/>
    <col min="6907" max="6907" width="8.140625" style="1" customWidth="1"/>
    <col min="6908" max="6908" width="8" style="1" customWidth="1"/>
    <col min="6909" max="6909" width="8.140625" style="1" customWidth="1"/>
    <col min="6910" max="6910" width="8.28515625" style="1" customWidth="1"/>
    <col min="6911" max="7142" width="9.140625" style="1" customWidth="1"/>
    <col min="7143" max="7143" width="2.85546875" style="1" customWidth="1"/>
    <col min="7144" max="7144" width="31.5703125" style="1" customWidth="1"/>
    <col min="7145" max="7145" width="8.140625" style="1" customWidth="1"/>
    <col min="7146" max="7146" width="7.28515625" style="1" customWidth="1"/>
    <col min="7147" max="7147" width="6.42578125" style="1" customWidth="1"/>
    <col min="7148" max="7148" width="6.28515625" style="1"/>
    <col min="7149" max="7149" width="2.85546875" style="1" customWidth="1"/>
    <col min="7150" max="7150" width="31.5703125" style="1" customWidth="1"/>
    <col min="7151" max="7151" width="8.140625" style="1" customWidth="1"/>
    <col min="7152" max="7152" width="7.28515625" style="1" customWidth="1"/>
    <col min="7153" max="7153" width="6.42578125" style="1" customWidth="1"/>
    <col min="7154" max="7154" width="6.28515625" style="1" customWidth="1"/>
    <col min="7155" max="7156" width="7.5703125" style="1" customWidth="1"/>
    <col min="7157" max="7158" width="7.140625" style="1" customWidth="1"/>
    <col min="7159" max="7159" width="7.42578125" style="1" customWidth="1"/>
    <col min="7160" max="7160" width="7.28515625" style="1" customWidth="1"/>
    <col min="7161" max="7161" width="5.140625" style="1" customWidth="1"/>
    <col min="7162" max="7162" width="4.7109375" style="1" customWidth="1"/>
    <col min="7163" max="7163" width="8.140625" style="1" customWidth="1"/>
    <col min="7164" max="7164" width="8" style="1" customWidth="1"/>
    <col min="7165" max="7165" width="8.140625" style="1" customWidth="1"/>
    <col min="7166" max="7166" width="8.28515625" style="1" customWidth="1"/>
    <col min="7167" max="7398" width="9.140625" style="1" customWidth="1"/>
    <col min="7399" max="7399" width="2.85546875" style="1" customWidth="1"/>
    <col min="7400" max="7400" width="31.5703125" style="1" customWidth="1"/>
    <col min="7401" max="7401" width="8.140625" style="1" customWidth="1"/>
    <col min="7402" max="7402" width="7.28515625" style="1" customWidth="1"/>
    <col min="7403" max="7403" width="6.42578125" style="1" customWidth="1"/>
    <col min="7404" max="7404" width="6.28515625" style="1"/>
    <col min="7405" max="7405" width="2.85546875" style="1" customWidth="1"/>
    <col min="7406" max="7406" width="31.5703125" style="1" customWidth="1"/>
    <col min="7407" max="7407" width="8.140625" style="1" customWidth="1"/>
    <col min="7408" max="7408" width="7.28515625" style="1" customWidth="1"/>
    <col min="7409" max="7409" width="6.42578125" style="1" customWidth="1"/>
    <col min="7410" max="7410" width="6.28515625" style="1" customWidth="1"/>
    <col min="7411" max="7412" width="7.5703125" style="1" customWidth="1"/>
    <col min="7413" max="7414" width="7.140625" style="1" customWidth="1"/>
    <col min="7415" max="7415" width="7.42578125" style="1" customWidth="1"/>
    <col min="7416" max="7416" width="7.28515625" style="1" customWidth="1"/>
    <col min="7417" max="7417" width="5.140625" style="1" customWidth="1"/>
    <col min="7418" max="7418" width="4.7109375" style="1" customWidth="1"/>
    <col min="7419" max="7419" width="8.140625" style="1" customWidth="1"/>
    <col min="7420" max="7420" width="8" style="1" customWidth="1"/>
    <col min="7421" max="7421" width="8.140625" style="1" customWidth="1"/>
    <col min="7422" max="7422" width="8.28515625" style="1" customWidth="1"/>
    <col min="7423" max="7654" width="9.140625" style="1" customWidth="1"/>
    <col min="7655" max="7655" width="2.85546875" style="1" customWidth="1"/>
    <col min="7656" max="7656" width="31.5703125" style="1" customWidth="1"/>
    <col min="7657" max="7657" width="8.140625" style="1" customWidth="1"/>
    <col min="7658" max="7658" width="7.28515625" style="1" customWidth="1"/>
    <col min="7659" max="7659" width="6.42578125" style="1" customWidth="1"/>
    <col min="7660" max="7660" width="6.28515625" style="1"/>
    <col min="7661" max="7661" width="2.85546875" style="1" customWidth="1"/>
    <col min="7662" max="7662" width="31.5703125" style="1" customWidth="1"/>
    <col min="7663" max="7663" width="8.140625" style="1" customWidth="1"/>
    <col min="7664" max="7664" width="7.28515625" style="1" customWidth="1"/>
    <col min="7665" max="7665" width="6.42578125" style="1" customWidth="1"/>
    <col min="7666" max="7666" width="6.28515625" style="1" customWidth="1"/>
    <col min="7667" max="7668" width="7.5703125" style="1" customWidth="1"/>
    <col min="7669" max="7670" width="7.140625" style="1" customWidth="1"/>
    <col min="7671" max="7671" width="7.42578125" style="1" customWidth="1"/>
    <col min="7672" max="7672" width="7.28515625" style="1" customWidth="1"/>
    <col min="7673" max="7673" width="5.140625" style="1" customWidth="1"/>
    <col min="7674" max="7674" width="4.7109375" style="1" customWidth="1"/>
    <col min="7675" max="7675" width="8.140625" style="1" customWidth="1"/>
    <col min="7676" max="7676" width="8" style="1" customWidth="1"/>
    <col min="7677" max="7677" width="8.140625" style="1" customWidth="1"/>
    <col min="7678" max="7678" width="8.28515625" style="1" customWidth="1"/>
    <col min="7679" max="7910" width="9.140625" style="1" customWidth="1"/>
    <col min="7911" max="7911" width="2.85546875" style="1" customWidth="1"/>
    <col min="7912" max="7912" width="31.5703125" style="1" customWidth="1"/>
    <col min="7913" max="7913" width="8.140625" style="1" customWidth="1"/>
    <col min="7914" max="7914" width="7.28515625" style="1" customWidth="1"/>
    <col min="7915" max="7915" width="6.42578125" style="1" customWidth="1"/>
    <col min="7916" max="7916" width="6.28515625" style="1"/>
    <col min="7917" max="7917" width="2.85546875" style="1" customWidth="1"/>
    <col min="7918" max="7918" width="31.5703125" style="1" customWidth="1"/>
    <col min="7919" max="7919" width="8.140625" style="1" customWidth="1"/>
    <col min="7920" max="7920" width="7.28515625" style="1" customWidth="1"/>
    <col min="7921" max="7921" width="6.42578125" style="1" customWidth="1"/>
    <col min="7922" max="7922" width="6.28515625" style="1" customWidth="1"/>
    <col min="7923" max="7924" width="7.5703125" style="1" customWidth="1"/>
    <col min="7925" max="7926" width="7.140625" style="1" customWidth="1"/>
    <col min="7927" max="7927" width="7.42578125" style="1" customWidth="1"/>
    <col min="7928" max="7928" width="7.28515625" style="1" customWidth="1"/>
    <col min="7929" max="7929" width="5.140625" style="1" customWidth="1"/>
    <col min="7930" max="7930" width="4.7109375" style="1" customWidth="1"/>
    <col min="7931" max="7931" width="8.140625" style="1" customWidth="1"/>
    <col min="7932" max="7932" width="8" style="1" customWidth="1"/>
    <col min="7933" max="7933" width="8.140625" style="1" customWidth="1"/>
    <col min="7934" max="7934" width="8.28515625" style="1" customWidth="1"/>
    <col min="7935" max="8166" width="9.140625" style="1" customWidth="1"/>
    <col min="8167" max="8167" width="2.85546875" style="1" customWidth="1"/>
    <col min="8168" max="8168" width="31.5703125" style="1" customWidth="1"/>
    <col min="8169" max="8169" width="8.140625" style="1" customWidth="1"/>
    <col min="8170" max="8170" width="7.28515625" style="1" customWidth="1"/>
    <col min="8171" max="8171" width="6.42578125" style="1" customWidth="1"/>
    <col min="8172" max="8172" width="6.28515625" style="1"/>
    <col min="8173" max="8173" width="2.85546875" style="1" customWidth="1"/>
    <col min="8174" max="8174" width="31.5703125" style="1" customWidth="1"/>
    <col min="8175" max="8175" width="8.140625" style="1" customWidth="1"/>
    <col min="8176" max="8176" width="7.28515625" style="1" customWidth="1"/>
    <col min="8177" max="8177" width="6.42578125" style="1" customWidth="1"/>
    <col min="8178" max="8178" width="6.28515625" style="1" customWidth="1"/>
    <col min="8179" max="8180" width="7.5703125" style="1" customWidth="1"/>
    <col min="8181" max="8182" width="7.140625" style="1" customWidth="1"/>
    <col min="8183" max="8183" width="7.42578125" style="1" customWidth="1"/>
    <col min="8184" max="8184" width="7.28515625" style="1" customWidth="1"/>
    <col min="8185" max="8185" width="5.140625" style="1" customWidth="1"/>
    <col min="8186" max="8186" width="4.7109375" style="1" customWidth="1"/>
    <col min="8187" max="8187" width="8.140625" style="1" customWidth="1"/>
    <col min="8188" max="8188" width="8" style="1" customWidth="1"/>
    <col min="8189" max="8189" width="8.140625" style="1" customWidth="1"/>
    <col min="8190" max="8190" width="8.28515625" style="1" customWidth="1"/>
    <col min="8191" max="8422" width="9.140625" style="1" customWidth="1"/>
    <col min="8423" max="8423" width="2.85546875" style="1" customWidth="1"/>
    <col min="8424" max="8424" width="31.5703125" style="1" customWidth="1"/>
    <col min="8425" max="8425" width="8.140625" style="1" customWidth="1"/>
    <col min="8426" max="8426" width="7.28515625" style="1" customWidth="1"/>
    <col min="8427" max="8427" width="6.42578125" style="1" customWidth="1"/>
    <col min="8428" max="8428" width="6.28515625" style="1"/>
    <col min="8429" max="8429" width="2.85546875" style="1" customWidth="1"/>
    <col min="8430" max="8430" width="31.5703125" style="1" customWidth="1"/>
    <col min="8431" max="8431" width="8.140625" style="1" customWidth="1"/>
    <col min="8432" max="8432" width="7.28515625" style="1" customWidth="1"/>
    <col min="8433" max="8433" width="6.42578125" style="1" customWidth="1"/>
    <col min="8434" max="8434" width="6.28515625" style="1" customWidth="1"/>
    <col min="8435" max="8436" width="7.5703125" style="1" customWidth="1"/>
    <col min="8437" max="8438" width="7.140625" style="1" customWidth="1"/>
    <col min="8439" max="8439" width="7.42578125" style="1" customWidth="1"/>
    <col min="8440" max="8440" width="7.28515625" style="1" customWidth="1"/>
    <col min="8441" max="8441" width="5.140625" style="1" customWidth="1"/>
    <col min="8442" max="8442" width="4.7109375" style="1" customWidth="1"/>
    <col min="8443" max="8443" width="8.140625" style="1" customWidth="1"/>
    <col min="8444" max="8444" width="8" style="1" customWidth="1"/>
    <col min="8445" max="8445" width="8.140625" style="1" customWidth="1"/>
    <col min="8446" max="8446" width="8.28515625" style="1" customWidth="1"/>
    <col min="8447" max="8678" width="9.140625" style="1" customWidth="1"/>
    <col min="8679" max="8679" width="2.85546875" style="1" customWidth="1"/>
    <col min="8680" max="8680" width="31.5703125" style="1" customWidth="1"/>
    <col min="8681" max="8681" width="8.140625" style="1" customWidth="1"/>
    <col min="8682" max="8682" width="7.28515625" style="1" customWidth="1"/>
    <col min="8683" max="8683" width="6.42578125" style="1" customWidth="1"/>
    <col min="8684" max="8684" width="6.28515625" style="1"/>
    <col min="8685" max="8685" width="2.85546875" style="1" customWidth="1"/>
    <col min="8686" max="8686" width="31.5703125" style="1" customWidth="1"/>
    <col min="8687" max="8687" width="8.140625" style="1" customWidth="1"/>
    <col min="8688" max="8688" width="7.28515625" style="1" customWidth="1"/>
    <col min="8689" max="8689" width="6.42578125" style="1" customWidth="1"/>
    <col min="8690" max="8690" width="6.28515625" style="1" customWidth="1"/>
    <col min="8691" max="8692" width="7.5703125" style="1" customWidth="1"/>
    <col min="8693" max="8694" width="7.140625" style="1" customWidth="1"/>
    <col min="8695" max="8695" width="7.42578125" style="1" customWidth="1"/>
    <col min="8696" max="8696" width="7.28515625" style="1" customWidth="1"/>
    <col min="8697" max="8697" width="5.140625" style="1" customWidth="1"/>
    <col min="8698" max="8698" width="4.7109375" style="1" customWidth="1"/>
    <col min="8699" max="8699" width="8.140625" style="1" customWidth="1"/>
    <col min="8700" max="8700" width="8" style="1" customWidth="1"/>
    <col min="8701" max="8701" width="8.140625" style="1" customWidth="1"/>
    <col min="8702" max="8702" width="8.28515625" style="1" customWidth="1"/>
    <col min="8703" max="8934" width="9.140625" style="1" customWidth="1"/>
    <col min="8935" max="8935" width="2.85546875" style="1" customWidth="1"/>
    <col min="8936" max="8936" width="31.5703125" style="1" customWidth="1"/>
    <col min="8937" max="8937" width="8.140625" style="1" customWidth="1"/>
    <col min="8938" max="8938" width="7.28515625" style="1" customWidth="1"/>
    <col min="8939" max="8939" width="6.42578125" style="1" customWidth="1"/>
    <col min="8940" max="8940" width="6.28515625" style="1"/>
    <col min="8941" max="8941" width="2.85546875" style="1" customWidth="1"/>
    <col min="8942" max="8942" width="31.5703125" style="1" customWidth="1"/>
    <col min="8943" max="8943" width="8.140625" style="1" customWidth="1"/>
    <col min="8944" max="8944" width="7.28515625" style="1" customWidth="1"/>
    <col min="8945" max="8945" width="6.42578125" style="1" customWidth="1"/>
    <col min="8946" max="8946" width="6.28515625" style="1" customWidth="1"/>
    <col min="8947" max="8948" width="7.5703125" style="1" customWidth="1"/>
    <col min="8949" max="8950" width="7.140625" style="1" customWidth="1"/>
    <col min="8951" max="8951" width="7.42578125" style="1" customWidth="1"/>
    <col min="8952" max="8952" width="7.28515625" style="1" customWidth="1"/>
    <col min="8953" max="8953" width="5.140625" style="1" customWidth="1"/>
    <col min="8954" max="8954" width="4.7109375" style="1" customWidth="1"/>
    <col min="8955" max="8955" width="8.140625" style="1" customWidth="1"/>
    <col min="8956" max="8956" width="8" style="1" customWidth="1"/>
    <col min="8957" max="8957" width="8.140625" style="1" customWidth="1"/>
    <col min="8958" max="8958" width="8.28515625" style="1" customWidth="1"/>
    <col min="8959" max="9190" width="9.140625" style="1" customWidth="1"/>
    <col min="9191" max="9191" width="2.85546875" style="1" customWidth="1"/>
    <col min="9192" max="9192" width="31.5703125" style="1" customWidth="1"/>
    <col min="9193" max="9193" width="8.140625" style="1" customWidth="1"/>
    <col min="9194" max="9194" width="7.28515625" style="1" customWidth="1"/>
    <col min="9195" max="9195" width="6.42578125" style="1" customWidth="1"/>
    <col min="9196" max="9196" width="6.28515625" style="1"/>
    <col min="9197" max="9197" width="2.85546875" style="1" customWidth="1"/>
    <col min="9198" max="9198" width="31.5703125" style="1" customWidth="1"/>
    <col min="9199" max="9199" width="8.140625" style="1" customWidth="1"/>
    <col min="9200" max="9200" width="7.28515625" style="1" customWidth="1"/>
    <col min="9201" max="9201" width="6.42578125" style="1" customWidth="1"/>
    <col min="9202" max="9202" width="6.28515625" style="1" customWidth="1"/>
    <col min="9203" max="9204" width="7.5703125" style="1" customWidth="1"/>
    <col min="9205" max="9206" width="7.140625" style="1" customWidth="1"/>
    <col min="9207" max="9207" width="7.42578125" style="1" customWidth="1"/>
    <col min="9208" max="9208" width="7.28515625" style="1" customWidth="1"/>
    <col min="9209" max="9209" width="5.140625" style="1" customWidth="1"/>
    <col min="9210" max="9210" width="4.7109375" style="1" customWidth="1"/>
    <col min="9211" max="9211" width="8.140625" style="1" customWidth="1"/>
    <col min="9212" max="9212" width="8" style="1" customWidth="1"/>
    <col min="9213" max="9213" width="8.140625" style="1" customWidth="1"/>
    <col min="9214" max="9214" width="8.28515625" style="1" customWidth="1"/>
    <col min="9215" max="9446" width="9.140625" style="1" customWidth="1"/>
    <col min="9447" max="9447" width="2.85546875" style="1" customWidth="1"/>
    <col min="9448" max="9448" width="31.5703125" style="1" customWidth="1"/>
    <col min="9449" max="9449" width="8.140625" style="1" customWidth="1"/>
    <col min="9450" max="9450" width="7.28515625" style="1" customWidth="1"/>
    <col min="9451" max="9451" width="6.42578125" style="1" customWidth="1"/>
    <col min="9452" max="9452" width="6.28515625" style="1"/>
    <col min="9453" max="9453" width="2.85546875" style="1" customWidth="1"/>
    <col min="9454" max="9454" width="31.5703125" style="1" customWidth="1"/>
    <col min="9455" max="9455" width="8.140625" style="1" customWidth="1"/>
    <col min="9456" max="9456" width="7.28515625" style="1" customWidth="1"/>
    <col min="9457" max="9457" width="6.42578125" style="1" customWidth="1"/>
    <col min="9458" max="9458" width="6.28515625" style="1" customWidth="1"/>
    <col min="9459" max="9460" width="7.5703125" style="1" customWidth="1"/>
    <col min="9461" max="9462" width="7.140625" style="1" customWidth="1"/>
    <col min="9463" max="9463" width="7.42578125" style="1" customWidth="1"/>
    <col min="9464" max="9464" width="7.28515625" style="1" customWidth="1"/>
    <col min="9465" max="9465" width="5.140625" style="1" customWidth="1"/>
    <col min="9466" max="9466" width="4.7109375" style="1" customWidth="1"/>
    <col min="9467" max="9467" width="8.140625" style="1" customWidth="1"/>
    <col min="9468" max="9468" width="8" style="1" customWidth="1"/>
    <col min="9469" max="9469" width="8.140625" style="1" customWidth="1"/>
    <col min="9470" max="9470" width="8.28515625" style="1" customWidth="1"/>
    <col min="9471" max="9702" width="9.140625" style="1" customWidth="1"/>
    <col min="9703" max="9703" width="2.85546875" style="1" customWidth="1"/>
    <col min="9704" max="9704" width="31.5703125" style="1" customWidth="1"/>
    <col min="9705" max="9705" width="8.140625" style="1" customWidth="1"/>
    <col min="9706" max="9706" width="7.28515625" style="1" customWidth="1"/>
    <col min="9707" max="9707" width="6.42578125" style="1" customWidth="1"/>
    <col min="9708" max="9708" width="6.28515625" style="1"/>
    <col min="9709" max="9709" width="2.85546875" style="1" customWidth="1"/>
    <col min="9710" max="9710" width="31.5703125" style="1" customWidth="1"/>
    <col min="9711" max="9711" width="8.140625" style="1" customWidth="1"/>
    <col min="9712" max="9712" width="7.28515625" style="1" customWidth="1"/>
    <col min="9713" max="9713" width="6.42578125" style="1" customWidth="1"/>
    <col min="9714" max="9714" width="6.28515625" style="1" customWidth="1"/>
    <col min="9715" max="9716" width="7.5703125" style="1" customWidth="1"/>
    <col min="9717" max="9718" width="7.140625" style="1" customWidth="1"/>
    <col min="9719" max="9719" width="7.42578125" style="1" customWidth="1"/>
    <col min="9720" max="9720" width="7.28515625" style="1" customWidth="1"/>
    <col min="9721" max="9721" width="5.140625" style="1" customWidth="1"/>
    <col min="9722" max="9722" width="4.7109375" style="1" customWidth="1"/>
    <col min="9723" max="9723" width="8.140625" style="1" customWidth="1"/>
    <col min="9724" max="9724" width="8" style="1" customWidth="1"/>
    <col min="9725" max="9725" width="8.140625" style="1" customWidth="1"/>
    <col min="9726" max="9726" width="8.28515625" style="1" customWidth="1"/>
    <col min="9727" max="9958" width="9.140625" style="1" customWidth="1"/>
    <col min="9959" max="9959" width="2.85546875" style="1" customWidth="1"/>
    <col min="9960" max="9960" width="31.5703125" style="1" customWidth="1"/>
    <col min="9961" max="9961" width="8.140625" style="1" customWidth="1"/>
    <col min="9962" max="9962" width="7.28515625" style="1" customWidth="1"/>
    <col min="9963" max="9963" width="6.42578125" style="1" customWidth="1"/>
    <col min="9964" max="9964" width="6.28515625" style="1"/>
    <col min="9965" max="9965" width="2.85546875" style="1" customWidth="1"/>
    <col min="9966" max="9966" width="31.5703125" style="1" customWidth="1"/>
    <col min="9967" max="9967" width="8.140625" style="1" customWidth="1"/>
    <col min="9968" max="9968" width="7.28515625" style="1" customWidth="1"/>
    <col min="9969" max="9969" width="6.42578125" style="1" customWidth="1"/>
    <col min="9970" max="9970" width="6.28515625" style="1" customWidth="1"/>
    <col min="9971" max="9972" width="7.5703125" style="1" customWidth="1"/>
    <col min="9973" max="9974" width="7.140625" style="1" customWidth="1"/>
    <col min="9975" max="9975" width="7.42578125" style="1" customWidth="1"/>
    <col min="9976" max="9976" width="7.28515625" style="1" customWidth="1"/>
    <col min="9977" max="9977" width="5.140625" style="1" customWidth="1"/>
    <col min="9978" max="9978" width="4.7109375" style="1" customWidth="1"/>
    <col min="9979" max="9979" width="8.140625" style="1" customWidth="1"/>
    <col min="9980" max="9980" width="8" style="1" customWidth="1"/>
    <col min="9981" max="9981" width="8.140625" style="1" customWidth="1"/>
    <col min="9982" max="9982" width="8.28515625" style="1" customWidth="1"/>
    <col min="9983" max="10214" width="9.140625" style="1" customWidth="1"/>
    <col min="10215" max="10215" width="2.85546875" style="1" customWidth="1"/>
    <col min="10216" max="10216" width="31.5703125" style="1" customWidth="1"/>
    <col min="10217" max="10217" width="8.140625" style="1" customWidth="1"/>
    <col min="10218" max="10218" width="7.28515625" style="1" customWidth="1"/>
    <col min="10219" max="10219" width="6.42578125" style="1" customWidth="1"/>
    <col min="10220" max="10220" width="6.28515625" style="1"/>
    <col min="10221" max="10221" width="2.85546875" style="1" customWidth="1"/>
    <col min="10222" max="10222" width="31.5703125" style="1" customWidth="1"/>
    <col min="10223" max="10223" width="8.140625" style="1" customWidth="1"/>
    <col min="10224" max="10224" width="7.28515625" style="1" customWidth="1"/>
    <col min="10225" max="10225" width="6.42578125" style="1" customWidth="1"/>
    <col min="10226" max="10226" width="6.28515625" style="1" customWidth="1"/>
    <col min="10227" max="10228" width="7.5703125" style="1" customWidth="1"/>
    <col min="10229" max="10230" width="7.140625" style="1" customWidth="1"/>
    <col min="10231" max="10231" width="7.42578125" style="1" customWidth="1"/>
    <col min="10232" max="10232" width="7.28515625" style="1" customWidth="1"/>
    <col min="10233" max="10233" width="5.140625" style="1" customWidth="1"/>
    <col min="10234" max="10234" width="4.7109375" style="1" customWidth="1"/>
    <col min="10235" max="10235" width="8.140625" style="1" customWidth="1"/>
    <col min="10236" max="10236" width="8" style="1" customWidth="1"/>
    <col min="10237" max="10237" width="8.140625" style="1" customWidth="1"/>
    <col min="10238" max="10238" width="8.28515625" style="1" customWidth="1"/>
    <col min="10239" max="10470" width="9.140625" style="1" customWidth="1"/>
    <col min="10471" max="10471" width="2.85546875" style="1" customWidth="1"/>
    <col min="10472" max="10472" width="31.5703125" style="1" customWidth="1"/>
    <col min="10473" max="10473" width="8.140625" style="1" customWidth="1"/>
    <col min="10474" max="10474" width="7.28515625" style="1" customWidth="1"/>
    <col min="10475" max="10475" width="6.42578125" style="1" customWidth="1"/>
    <col min="10476" max="10476" width="6.28515625" style="1"/>
    <col min="10477" max="10477" width="2.85546875" style="1" customWidth="1"/>
    <col min="10478" max="10478" width="31.5703125" style="1" customWidth="1"/>
    <col min="10479" max="10479" width="8.140625" style="1" customWidth="1"/>
    <col min="10480" max="10480" width="7.28515625" style="1" customWidth="1"/>
    <col min="10481" max="10481" width="6.42578125" style="1" customWidth="1"/>
    <col min="10482" max="10482" width="6.28515625" style="1" customWidth="1"/>
    <col min="10483" max="10484" width="7.5703125" style="1" customWidth="1"/>
    <col min="10485" max="10486" width="7.140625" style="1" customWidth="1"/>
    <col min="10487" max="10487" width="7.42578125" style="1" customWidth="1"/>
    <col min="10488" max="10488" width="7.28515625" style="1" customWidth="1"/>
    <col min="10489" max="10489" width="5.140625" style="1" customWidth="1"/>
    <col min="10490" max="10490" width="4.7109375" style="1" customWidth="1"/>
    <col min="10491" max="10491" width="8.140625" style="1" customWidth="1"/>
    <col min="10492" max="10492" width="8" style="1" customWidth="1"/>
    <col min="10493" max="10493" width="8.140625" style="1" customWidth="1"/>
    <col min="10494" max="10494" width="8.28515625" style="1" customWidth="1"/>
    <col min="10495" max="10726" width="9.140625" style="1" customWidth="1"/>
    <col min="10727" max="10727" width="2.85546875" style="1" customWidth="1"/>
    <col min="10728" max="10728" width="31.5703125" style="1" customWidth="1"/>
    <col min="10729" max="10729" width="8.140625" style="1" customWidth="1"/>
    <col min="10730" max="10730" width="7.28515625" style="1" customWidth="1"/>
    <col min="10731" max="10731" width="6.42578125" style="1" customWidth="1"/>
    <col min="10732" max="10732" width="6.28515625" style="1"/>
    <col min="10733" max="10733" width="2.85546875" style="1" customWidth="1"/>
    <col min="10734" max="10734" width="31.5703125" style="1" customWidth="1"/>
    <col min="10735" max="10735" width="8.140625" style="1" customWidth="1"/>
    <col min="10736" max="10736" width="7.28515625" style="1" customWidth="1"/>
    <col min="10737" max="10737" width="6.42578125" style="1" customWidth="1"/>
    <col min="10738" max="10738" width="6.28515625" style="1" customWidth="1"/>
    <col min="10739" max="10740" width="7.5703125" style="1" customWidth="1"/>
    <col min="10741" max="10742" width="7.140625" style="1" customWidth="1"/>
    <col min="10743" max="10743" width="7.42578125" style="1" customWidth="1"/>
    <col min="10744" max="10744" width="7.28515625" style="1" customWidth="1"/>
    <col min="10745" max="10745" width="5.140625" style="1" customWidth="1"/>
    <col min="10746" max="10746" width="4.7109375" style="1" customWidth="1"/>
    <col min="10747" max="10747" width="8.140625" style="1" customWidth="1"/>
    <col min="10748" max="10748" width="8" style="1" customWidth="1"/>
    <col min="10749" max="10749" width="8.140625" style="1" customWidth="1"/>
    <col min="10750" max="10750" width="8.28515625" style="1" customWidth="1"/>
    <col min="10751" max="10982" width="9.140625" style="1" customWidth="1"/>
    <col min="10983" max="10983" width="2.85546875" style="1" customWidth="1"/>
    <col min="10984" max="10984" width="31.5703125" style="1" customWidth="1"/>
    <col min="10985" max="10985" width="8.140625" style="1" customWidth="1"/>
    <col min="10986" max="10986" width="7.28515625" style="1" customWidth="1"/>
    <col min="10987" max="10987" width="6.42578125" style="1" customWidth="1"/>
    <col min="10988" max="10988" width="6.28515625" style="1"/>
    <col min="10989" max="10989" width="2.85546875" style="1" customWidth="1"/>
    <col min="10990" max="10990" width="31.5703125" style="1" customWidth="1"/>
    <col min="10991" max="10991" width="8.140625" style="1" customWidth="1"/>
    <col min="10992" max="10992" width="7.28515625" style="1" customWidth="1"/>
    <col min="10993" max="10993" width="6.42578125" style="1" customWidth="1"/>
    <col min="10994" max="10994" width="6.28515625" style="1" customWidth="1"/>
    <col min="10995" max="10996" width="7.5703125" style="1" customWidth="1"/>
    <col min="10997" max="10998" width="7.140625" style="1" customWidth="1"/>
    <col min="10999" max="10999" width="7.42578125" style="1" customWidth="1"/>
    <col min="11000" max="11000" width="7.28515625" style="1" customWidth="1"/>
    <col min="11001" max="11001" width="5.140625" style="1" customWidth="1"/>
    <col min="11002" max="11002" width="4.7109375" style="1" customWidth="1"/>
    <col min="11003" max="11003" width="8.140625" style="1" customWidth="1"/>
    <col min="11004" max="11004" width="8" style="1" customWidth="1"/>
    <col min="11005" max="11005" width="8.140625" style="1" customWidth="1"/>
    <col min="11006" max="11006" width="8.28515625" style="1" customWidth="1"/>
    <col min="11007" max="11238" width="9.140625" style="1" customWidth="1"/>
    <col min="11239" max="11239" width="2.85546875" style="1" customWidth="1"/>
    <col min="11240" max="11240" width="31.5703125" style="1" customWidth="1"/>
    <col min="11241" max="11241" width="8.140625" style="1" customWidth="1"/>
    <col min="11242" max="11242" width="7.28515625" style="1" customWidth="1"/>
    <col min="11243" max="11243" width="6.42578125" style="1" customWidth="1"/>
    <col min="11244" max="11244" width="6.28515625" style="1"/>
    <col min="11245" max="11245" width="2.85546875" style="1" customWidth="1"/>
    <col min="11246" max="11246" width="31.5703125" style="1" customWidth="1"/>
    <col min="11247" max="11247" width="8.140625" style="1" customWidth="1"/>
    <col min="11248" max="11248" width="7.28515625" style="1" customWidth="1"/>
    <col min="11249" max="11249" width="6.42578125" style="1" customWidth="1"/>
    <col min="11250" max="11250" width="6.28515625" style="1" customWidth="1"/>
    <col min="11251" max="11252" width="7.5703125" style="1" customWidth="1"/>
    <col min="11253" max="11254" width="7.140625" style="1" customWidth="1"/>
    <col min="11255" max="11255" width="7.42578125" style="1" customWidth="1"/>
    <col min="11256" max="11256" width="7.28515625" style="1" customWidth="1"/>
    <col min="11257" max="11257" width="5.140625" style="1" customWidth="1"/>
    <col min="11258" max="11258" width="4.7109375" style="1" customWidth="1"/>
    <col min="11259" max="11259" width="8.140625" style="1" customWidth="1"/>
    <col min="11260" max="11260" width="8" style="1" customWidth="1"/>
    <col min="11261" max="11261" width="8.140625" style="1" customWidth="1"/>
    <col min="11262" max="11262" width="8.28515625" style="1" customWidth="1"/>
    <col min="11263" max="11494" width="9.140625" style="1" customWidth="1"/>
    <col min="11495" max="11495" width="2.85546875" style="1" customWidth="1"/>
    <col min="11496" max="11496" width="31.5703125" style="1" customWidth="1"/>
    <col min="11497" max="11497" width="8.140625" style="1" customWidth="1"/>
    <col min="11498" max="11498" width="7.28515625" style="1" customWidth="1"/>
    <col min="11499" max="11499" width="6.42578125" style="1" customWidth="1"/>
    <col min="11500" max="11500" width="6.28515625" style="1"/>
    <col min="11501" max="11501" width="2.85546875" style="1" customWidth="1"/>
    <col min="11502" max="11502" width="31.5703125" style="1" customWidth="1"/>
    <col min="11503" max="11503" width="8.140625" style="1" customWidth="1"/>
    <col min="11504" max="11504" width="7.28515625" style="1" customWidth="1"/>
    <col min="11505" max="11505" width="6.42578125" style="1" customWidth="1"/>
    <col min="11506" max="11506" width="6.28515625" style="1" customWidth="1"/>
    <col min="11507" max="11508" width="7.5703125" style="1" customWidth="1"/>
    <col min="11509" max="11510" width="7.140625" style="1" customWidth="1"/>
    <col min="11511" max="11511" width="7.42578125" style="1" customWidth="1"/>
    <col min="11512" max="11512" width="7.28515625" style="1" customWidth="1"/>
    <col min="11513" max="11513" width="5.140625" style="1" customWidth="1"/>
    <col min="11514" max="11514" width="4.7109375" style="1" customWidth="1"/>
    <col min="11515" max="11515" width="8.140625" style="1" customWidth="1"/>
    <col min="11516" max="11516" width="8" style="1" customWidth="1"/>
    <col min="11517" max="11517" width="8.140625" style="1" customWidth="1"/>
    <col min="11518" max="11518" width="8.28515625" style="1" customWidth="1"/>
    <col min="11519" max="11750" width="9.140625" style="1" customWidth="1"/>
    <col min="11751" max="11751" width="2.85546875" style="1" customWidth="1"/>
    <col min="11752" max="11752" width="31.5703125" style="1" customWidth="1"/>
    <col min="11753" max="11753" width="8.140625" style="1" customWidth="1"/>
    <col min="11754" max="11754" width="7.28515625" style="1" customWidth="1"/>
    <col min="11755" max="11755" width="6.42578125" style="1" customWidth="1"/>
    <col min="11756" max="11756" width="6.28515625" style="1"/>
    <col min="11757" max="11757" width="2.85546875" style="1" customWidth="1"/>
    <col min="11758" max="11758" width="31.5703125" style="1" customWidth="1"/>
    <col min="11759" max="11759" width="8.140625" style="1" customWidth="1"/>
    <col min="11760" max="11760" width="7.28515625" style="1" customWidth="1"/>
    <col min="11761" max="11761" width="6.42578125" style="1" customWidth="1"/>
    <col min="11762" max="11762" width="6.28515625" style="1" customWidth="1"/>
    <col min="11763" max="11764" width="7.5703125" style="1" customWidth="1"/>
    <col min="11765" max="11766" width="7.140625" style="1" customWidth="1"/>
    <col min="11767" max="11767" width="7.42578125" style="1" customWidth="1"/>
    <col min="11768" max="11768" width="7.28515625" style="1" customWidth="1"/>
    <col min="11769" max="11769" width="5.140625" style="1" customWidth="1"/>
    <col min="11770" max="11770" width="4.7109375" style="1" customWidth="1"/>
    <col min="11771" max="11771" width="8.140625" style="1" customWidth="1"/>
    <col min="11772" max="11772" width="8" style="1" customWidth="1"/>
    <col min="11773" max="11773" width="8.140625" style="1" customWidth="1"/>
    <col min="11774" max="11774" width="8.28515625" style="1" customWidth="1"/>
    <col min="11775" max="12006" width="9.140625" style="1" customWidth="1"/>
    <col min="12007" max="12007" width="2.85546875" style="1" customWidth="1"/>
    <col min="12008" max="12008" width="31.5703125" style="1" customWidth="1"/>
    <col min="12009" max="12009" width="8.140625" style="1" customWidth="1"/>
    <col min="12010" max="12010" width="7.28515625" style="1" customWidth="1"/>
    <col min="12011" max="12011" width="6.42578125" style="1" customWidth="1"/>
    <col min="12012" max="12012" width="6.28515625" style="1"/>
    <col min="12013" max="12013" width="2.85546875" style="1" customWidth="1"/>
    <col min="12014" max="12014" width="31.5703125" style="1" customWidth="1"/>
    <col min="12015" max="12015" width="8.140625" style="1" customWidth="1"/>
    <col min="12016" max="12016" width="7.28515625" style="1" customWidth="1"/>
    <col min="12017" max="12017" width="6.42578125" style="1" customWidth="1"/>
    <col min="12018" max="12018" width="6.28515625" style="1" customWidth="1"/>
    <col min="12019" max="12020" width="7.5703125" style="1" customWidth="1"/>
    <col min="12021" max="12022" width="7.140625" style="1" customWidth="1"/>
    <col min="12023" max="12023" width="7.42578125" style="1" customWidth="1"/>
    <col min="12024" max="12024" width="7.28515625" style="1" customWidth="1"/>
    <col min="12025" max="12025" width="5.140625" style="1" customWidth="1"/>
    <col min="12026" max="12026" width="4.7109375" style="1" customWidth="1"/>
    <col min="12027" max="12027" width="8.140625" style="1" customWidth="1"/>
    <col min="12028" max="12028" width="8" style="1" customWidth="1"/>
    <col min="12029" max="12029" width="8.140625" style="1" customWidth="1"/>
    <col min="12030" max="12030" width="8.28515625" style="1" customWidth="1"/>
    <col min="12031" max="12262" width="9.140625" style="1" customWidth="1"/>
    <col min="12263" max="12263" width="2.85546875" style="1" customWidth="1"/>
    <col min="12264" max="12264" width="31.5703125" style="1" customWidth="1"/>
    <col min="12265" max="12265" width="8.140625" style="1" customWidth="1"/>
    <col min="12266" max="12266" width="7.28515625" style="1" customWidth="1"/>
    <col min="12267" max="12267" width="6.42578125" style="1" customWidth="1"/>
    <col min="12268" max="12268" width="6.28515625" style="1"/>
    <col min="12269" max="12269" width="2.85546875" style="1" customWidth="1"/>
    <col min="12270" max="12270" width="31.5703125" style="1" customWidth="1"/>
    <col min="12271" max="12271" width="8.140625" style="1" customWidth="1"/>
    <col min="12272" max="12272" width="7.28515625" style="1" customWidth="1"/>
    <col min="12273" max="12273" width="6.42578125" style="1" customWidth="1"/>
    <col min="12274" max="12274" width="6.28515625" style="1" customWidth="1"/>
    <col min="12275" max="12276" width="7.5703125" style="1" customWidth="1"/>
    <col min="12277" max="12278" width="7.140625" style="1" customWidth="1"/>
    <col min="12279" max="12279" width="7.42578125" style="1" customWidth="1"/>
    <col min="12280" max="12280" width="7.28515625" style="1" customWidth="1"/>
    <col min="12281" max="12281" width="5.140625" style="1" customWidth="1"/>
    <col min="12282" max="12282" width="4.7109375" style="1" customWidth="1"/>
    <col min="12283" max="12283" width="8.140625" style="1" customWidth="1"/>
    <col min="12284" max="12284" width="8" style="1" customWidth="1"/>
    <col min="12285" max="12285" width="8.140625" style="1" customWidth="1"/>
    <col min="12286" max="12286" width="8.28515625" style="1" customWidth="1"/>
    <col min="12287" max="12518" width="9.140625" style="1" customWidth="1"/>
    <col min="12519" max="12519" width="2.85546875" style="1" customWidth="1"/>
    <col min="12520" max="12520" width="31.5703125" style="1" customWidth="1"/>
    <col min="12521" max="12521" width="8.140625" style="1" customWidth="1"/>
    <col min="12522" max="12522" width="7.28515625" style="1" customWidth="1"/>
    <col min="12523" max="12523" width="6.42578125" style="1" customWidth="1"/>
    <col min="12524" max="12524" width="6.28515625" style="1"/>
    <col min="12525" max="12525" width="2.85546875" style="1" customWidth="1"/>
    <col min="12526" max="12526" width="31.5703125" style="1" customWidth="1"/>
    <col min="12527" max="12527" width="8.140625" style="1" customWidth="1"/>
    <col min="12528" max="12528" width="7.28515625" style="1" customWidth="1"/>
    <col min="12529" max="12529" width="6.42578125" style="1" customWidth="1"/>
    <col min="12530" max="12530" width="6.28515625" style="1" customWidth="1"/>
    <col min="12531" max="12532" width="7.5703125" style="1" customWidth="1"/>
    <col min="12533" max="12534" width="7.140625" style="1" customWidth="1"/>
    <col min="12535" max="12535" width="7.42578125" style="1" customWidth="1"/>
    <col min="12536" max="12536" width="7.28515625" style="1" customWidth="1"/>
    <col min="12537" max="12537" width="5.140625" style="1" customWidth="1"/>
    <col min="12538" max="12538" width="4.7109375" style="1" customWidth="1"/>
    <col min="12539" max="12539" width="8.140625" style="1" customWidth="1"/>
    <col min="12540" max="12540" width="8" style="1" customWidth="1"/>
    <col min="12541" max="12541" width="8.140625" style="1" customWidth="1"/>
    <col min="12542" max="12542" width="8.28515625" style="1" customWidth="1"/>
    <col min="12543" max="12774" width="9.140625" style="1" customWidth="1"/>
    <col min="12775" max="12775" width="2.85546875" style="1" customWidth="1"/>
    <col min="12776" max="12776" width="31.5703125" style="1" customWidth="1"/>
    <col min="12777" max="12777" width="8.140625" style="1" customWidth="1"/>
    <col min="12778" max="12778" width="7.28515625" style="1" customWidth="1"/>
    <col min="12779" max="12779" width="6.42578125" style="1" customWidth="1"/>
    <col min="12780" max="12780" width="6.28515625" style="1"/>
    <col min="12781" max="12781" width="2.85546875" style="1" customWidth="1"/>
    <col min="12782" max="12782" width="31.5703125" style="1" customWidth="1"/>
    <col min="12783" max="12783" width="8.140625" style="1" customWidth="1"/>
    <col min="12784" max="12784" width="7.28515625" style="1" customWidth="1"/>
    <col min="12785" max="12785" width="6.42578125" style="1" customWidth="1"/>
    <col min="12786" max="12786" width="6.28515625" style="1" customWidth="1"/>
    <col min="12787" max="12788" width="7.5703125" style="1" customWidth="1"/>
    <col min="12789" max="12790" width="7.140625" style="1" customWidth="1"/>
    <col min="12791" max="12791" width="7.42578125" style="1" customWidth="1"/>
    <col min="12792" max="12792" width="7.28515625" style="1" customWidth="1"/>
    <col min="12793" max="12793" width="5.140625" style="1" customWidth="1"/>
    <col min="12794" max="12794" width="4.7109375" style="1" customWidth="1"/>
    <col min="12795" max="12795" width="8.140625" style="1" customWidth="1"/>
    <col min="12796" max="12796" width="8" style="1" customWidth="1"/>
    <col min="12797" max="12797" width="8.140625" style="1" customWidth="1"/>
    <col min="12798" max="12798" width="8.28515625" style="1" customWidth="1"/>
    <col min="12799" max="13030" width="9.140625" style="1" customWidth="1"/>
    <col min="13031" max="13031" width="2.85546875" style="1" customWidth="1"/>
    <col min="13032" max="13032" width="31.5703125" style="1" customWidth="1"/>
    <col min="13033" max="13033" width="8.140625" style="1" customWidth="1"/>
    <col min="13034" max="13034" width="7.28515625" style="1" customWidth="1"/>
    <col min="13035" max="13035" width="6.42578125" style="1" customWidth="1"/>
    <col min="13036" max="13036" width="6.28515625" style="1"/>
    <col min="13037" max="13037" width="2.85546875" style="1" customWidth="1"/>
    <col min="13038" max="13038" width="31.5703125" style="1" customWidth="1"/>
    <col min="13039" max="13039" width="8.140625" style="1" customWidth="1"/>
    <col min="13040" max="13040" width="7.28515625" style="1" customWidth="1"/>
    <col min="13041" max="13041" width="6.42578125" style="1" customWidth="1"/>
    <col min="13042" max="13042" width="6.28515625" style="1" customWidth="1"/>
    <col min="13043" max="13044" width="7.5703125" style="1" customWidth="1"/>
    <col min="13045" max="13046" width="7.140625" style="1" customWidth="1"/>
    <col min="13047" max="13047" width="7.42578125" style="1" customWidth="1"/>
    <col min="13048" max="13048" width="7.28515625" style="1" customWidth="1"/>
    <col min="13049" max="13049" width="5.140625" style="1" customWidth="1"/>
    <col min="13050" max="13050" width="4.7109375" style="1" customWidth="1"/>
    <col min="13051" max="13051" width="8.140625" style="1" customWidth="1"/>
    <col min="13052" max="13052" width="8" style="1" customWidth="1"/>
    <col min="13053" max="13053" width="8.140625" style="1" customWidth="1"/>
    <col min="13054" max="13054" width="8.28515625" style="1" customWidth="1"/>
    <col min="13055" max="13286" width="9.140625" style="1" customWidth="1"/>
    <col min="13287" max="13287" width="2.85546875" style="1" customWidth="1"/>
    <col min="13288" max="13288" width="31.5703125" style="1" customWidth="1"/>
    <col min="13289" max="13289" width="8.140625" style="1" customWidth="1"/>
    <col min="13290" max="13290" width="7.28515625" style="1" customWidth="1"/>
    <col min="13291" max="13291" width="6.42578125" style="1" customWidth="1"/>
    <col min="13292" max="13292" width="6.28515625" style="1"/>
    <col min="13293" max="13293" width="2.85546875" style="1" customWidth="1"/>
    <col min="13294" max="13294" width="31.5703125" style="1" customWidth="1"/>
    <col min="13295" max="13295" width="8.140625" style="1" customWidth="1"/>
    <col min="13296" max="13296" width="7.28515625" style="1" customWidth="1"/>
    <col min="13297" max="13297" width="6.42578125" style="1" customWidth="1"/>
    <col min="13298" max="13298" width="6.28515625" style="1" customWidth="1"/>
    <col min="13299" max="13300" width="7.5703125" style="1" customWidth="1"/>
    <col min="13301" max="13302" width="7.140625" style="1" customWidth="1"/>
    <col min="13303" max="13303" width="7.42578125" style="1" customWidth="1"/>
    <col min="13304" max="13304" width="7.28515625" style="1" customWidth="1"/>
    <col min="13305" max="13305" width="5.140625" style="1" customWidth="1"/>
    <col min="13306" max="13306" width="4.7109375" style="1" customWidth="1"/>
    <col min="13307" max="13307" width="8.140625" style="1" customWidth="1"/>
    <col min="13308" max="13308" width="8" style="1" customWidth="1"/>
    <col min="13309" max="13309" width="8.140625" style="1" customWidth="1"/>
    <col min="13310" max="13310" width="8.28515625" style="1" customWidth="1"/>
    <col min="13311" max="13542" width="9.140625" style="1" customWidth="1"/>
    <col min="13543" max="13543" width="2.85546875" style="1" customWidth="1"/>
    <col min="13544" max="13544" width="31.5703125" style="1" customWidth="1"/>
    <col min="13545" max="13545" width="8.140625" style="1" customWidth="1"/>
    <col min="13546" max="13546" width="7.28515625" style="1" customWidth="1"/>
    <col min="13547" max="13547" width="6.42578125" style="1" customWidth="1"/>
    <col min="13548" max="13548" width="6.28515625" style="1"/>
    <col min="13549" max="13549" width="2.85546875" style="1" customWidth="1"/>
    <col min="13550" max="13550" width="31.5703125" style="1" customWidth="1"/>
    <col min="13551" max="13551" width="8.140625" style="1" customWidth="1"/>
    <col min="13552" max="13552" width="7.28515625" style="1" customWidth="1"/>
    <col min="13553" max="13553" width="6.42578125" style="1" customWidth="1"/>
    <col min="13554" max="13554" width="6.28515625" style="1" customWidth="1"/>
    <col min="13555" max="13556" width="7.5703125" style="1" customWidth="1"/>
    <col min="13557" max="13558" width="7.140625" style="1" customWidth="1"/>
    <col min="13559" max="13559" width="7.42578125" style="1" customWidth="1"/>
    <col min="13560" max="13560" width="7.28515625" style="1" customWidth="1"/>
    <col min="13561" max="13561" width="5.140625" style="1" customWidth="1"/>
    <col min="13562" max="13562" width="4.7109375" style="1" customWidth="1"/>
    <col min="13563" max="13563" width="8.140625" style="1" customWidth="1"/>
    <col min="13564" max="13564" width="8" style="1" customWidth="1"/>
    <col min="13565" max="13565" width="8.140625" style="1" customWidth="1"/>
    <col min="13566" max="13566" width="8.28515625" style="1" customWidth="1"/>
    <col min="13567" max="13798" width="9.140625" style="1" customWidth="1"/>
    <col min="13799" max="13799" width="2.85546875" style="1" customWidth="1"/>
    <col min="13800" max="13800" width="31.5703125" style="1" customWidth="1"/>
    <col min="13801" max="13801" width="8.140625" style="1" customWidth="1"/>
    <col min="13802" max="13802" width="7.28515625" style="1" customWidth="1"/>
    <col min="13803" max="13803" width="6.42578125" style="1" customWidth="1"/>
    <col min="13804" max="13804" width="6.28515625" style="1"/>
    <col min="13805" max="13805" width="2.85546875" style="1" customWidth="1"/>
    <col min="13806" max="13806" width="31.5703125" style="1" customWidth="1"/>
    <col min="13807" max="13807" width="8.140625" style="1" customWidth="1"/>
    <col min="13808" max="13808" width="7.28515625" style="1" customWidth="1"/>
    <col min="13809" max="13809" width="6.42578125" style="1" customWidth="1"/>
    <col min="13810" max="13810" width="6.28515625" style="1" customWidth="1"/>
    <col min="13811" max="13812" width="7.5703125" style="1" customWidth="1"/>
    <col min="13813" max="13814" width="7.140625" style="1" customWidth="1"/>
    <col min="13815" max="13815" width="7.42578125" style="1" customWidth="1"/>
    <col min="13816" max="13816" width="7.28515625" style="1" customWidth="1"/>
    <col min="13817" max="13817" width="5.140625" style="1" customWidth="1"/>
    <col min="13818" max="13818" width="4.7109375" style="1" customWidth="1"/>
    <col min="13819" max="13819" width="8.140625" style="1" customWidth="1"/>
    <col min="13820" max="13820" width="8" style="1" customWidth="1"/>
    <col min="13821" max="13821" width="8.140625" style="1" customWidth="1"/>
    <col min="13822" max="13822" width="8.28515625" style="1" customWidth="1"/>
    <col min="13823" max="14054" width="9.140625" style="1" customWidth="1"/>
    <col min="14055" max="14055" width="2.85546875" style="1" customWidth="1"/>
    <col min="14056" max="14056" width="31.5703125" style="1" customWidth="1"/>
    <col min="14057" max="14057" width="8.140625" style="1" customWidth="1"/>
    <col min="14058" max="14058" width="7.28515625" style="1" customWidth="1"/>
    <col min="14059" max="14059" width="6.42578125" style="1" customWidth="1"/>
    <col min="14060" max="14060" width="6.28515625" style="1"/>
    <col min="14061" max="14061" width="2.85546875" style="1" customWidth="1"/>
    <col min="14062" max="14062" width="31.5703125" style="1" customWidth="1"/>
    <col min="14063" max="14063" width="8.140625" style="1" customWidth="1"/>
    <col min="14064" max="14064" width="7.28515625" style="1" customWidth="1"/>
    <col min="14065" max="14065" width="6.42578125" style="1" customWidth="1"/>
    <col min="14066" max="14066" width="6.28515625" style="1" customWidth="1"/>
    <col min="14067" max="14068" width="7.5703125" style="1" customWidth="1"/>
    <col min="14069" max="14070" width="7.140625" style="1" customWidth="1"/>
    <col min="14071" max="14071" width="7.42578125" style="1" customWidth="1"/>
    <col min="14072" max="14072" width="7.28515625" style="1" customWidth="1"/>
    <col min="14073" max="14073" width="5.140625" style="1" customWidth="1"/>
    <col min="14074" max="14074" width="4.7109375" style="1" customWidth="1"/>
    <col min="14075" max="14075" width="8.140625" style="1" customWidth="1"/>
    <col min="14076" max="14076" width="8" style="1" customWidth="1"/>
    <col min="14077" max="14077" width="8.140625" style="1" customWidth="1"/>
    <col min="14078" max="14078" width="8.28515625" style="1" customWidth="1"/>
    <col min="14079" max="14310" width="9.140625" style="1" customWidth="1"/>
    <col min="14311" max="14311" width="2.85546875" style="1" customWidth="1"/>
    <col min="14312" max="14312" width="31.5703125" style="1" customWidth="1"/>
    <col min="14313" max="14313" width="8.140625" style="1" customWidth="1"/>
    <col min="14314" max="14314" width="7.28515625" style="1" customWidth="1"/>
    <col min="14315" max="14315" width="6.42578125" style="1" customWidth="1"/>
    <col min="14316" max="14316" width="6.28515625" style="1"/>
    <col min="14317" max="14317" width="2.85546875" style="1" customWidth="1"/>
    <col min="14318" max="14318" width="31.5703125" style="1" customWidth="1"/>
    <col min="14319" max="14319" width="8.140625" style="1" customWidth="1"/>
    <col min="14320" max="14320" width="7.28515625" style="1" customWidth="1"/>
    <col min="14321" max="14321" width="6.42578125" style="1" customWidth="1"/>
    <col min="14322" max="14322" width="6.28515625" style="1" customWidth="1"/>
    <col min="14323" max="14324" width="7.5703125" style="1" customWidth="1"/>
    <col min="14325" max="14326" width="7.140625" style="1" customWidth="1"/>
    <col min="14327" max="14327" width="7.42578125" style="1" customWidth="1"/>
    <col min="14328" max="14328" width="7.28515625" style="1" customWidth="1"/>
    <col min="14329" max="14329" width="5.140625" style="1" customWidth="1"/>
    <col min="14330" max="14330" width="4.7109375" style="1" customWidth="1"/>
    <col min="14331" max="14331" width="8.140625" style="1" customWidth="1"/>
    <col min="14332" max="14332" width="8" style="1" customWidth="1"/>
    <col min="14333" max="14333" width="8.140625" style="1" customWidth="1"/>
    <col min="14334" max="14334" width="8.28515625" style="1" customWidth="1"/>
    <col min="14335" max="14566" width="9.140625" style="1" customWidth="1"/>
    <col min="14567" max="14567" width="2.85546875" style="1" customWidth="1"/>
    <col min="14568" max="14568" width="31.5703125" style="1" customWidth="1"/>
    <col min="14569" max="14569" width="8.140625" style="1" customWidth="1"/>
    <col min="14570" max="14570" width="7.28515625" style="1" customWidth="1"/>
    <col min="14571" max="14571" width="6.42578125" style="1" customWidth="1"/>
    <col min="14572" max="14572" width="6.28515625" style="1"/>
    <col min="14573" max="14573" width="2.85546875" style="1" customWidth="1"/>
    <col min="14574" max="14574" width="31.5703125" style="1" customWidth="1"/>
    <col min="14575" max="14575" width="8.140625" style="1" customWidth="1"/>
    <col min="14576" max="14576" width="7.28515625" style="1" customWidth="1"/>
    <col min="14577" max="14577" width="6.42578125" style="1" customWidth="1"/>
    <col min="14578" max="14578" width="6.28515625" style="1" customWidth="1"/>
    <col min="14579" max="14580" width="7.5703125" style="1" customWidth="1"/>
    <col min="14581" max="14582" width="7.140625" style="1" customWidth="1"/>
    <col min="14583" max="14583" width="7.42578125" style="1" customWidth="1"/>
    <col min="14584" max="14584" width="7.28515625" style="1" customWidth="1"/>
    <col min="14585" max="14585" width="5.140625" style="1" customWidth="1"/>
    <col min="14586" max="14586" width="4.7109375" style="1" customWidth="1"/>
    <col min="14587" max="14587" width="8.140625" style="1" customWidth="1"/>
    <col min="14588" max="14588" width="8" style="1" customWidth="1"/>
    <col min="14589" max="14589" width="8.140625" style="1" customWidth="1"/>
    <col min="14590" max="14590" width="8.28515625" style="1" customWidth="1"/>
    <col min="14591" max="14822" width="9.140625" style="1" customWidth="1"/>
    <col min="14823" max="14823" width="2.85546875" style="1" customWidth="1"/>
    <col min="14824" max="14824" width="31.5703125" style="1" customWidth="1"/>
    <col min="14825" max="14825" width="8.140625" style="1" customWidth="1"/>
    <col min="14826" max="14826" width="7.28515625" style="1" customWidth="1"/>
    <col min="14827" max="14827" width="6.42578125" style="1" customWidth="1"/>
    <col min="14828" max="14828" width="6.28515625" style="1"/>
    <col min="14829" max="14829" width="2.85546875" style="1" customWidth="1"/>
    <col min="14830" max="14830" width="31.5703125" style="1" customWidth="1"/>
    <col min="14831" max="14831" width="8.140625" style="1" customWidth="1"/>
    <col min="14832" max="14832" width="7.28515625" style="1" customWidth="1"/>
    <col min="14833" max="14833" width="6.42578125" style="1" customWidth="1"/>
    <col min="14834" max="14834" width="6.28515625" style="1" customWidth="1"/>
    <col min="14835" max="14836" width="7.5703125" style="1" customWidth="1"/>
    <col min="14837" max="14838" width="7.140625" style="1" customWidth="1"/>
    <col min="14839" max="14839" width="7.42578125" style="1" customWidth="1"/>
    <col min="14840" max="14840" width="7.28515625" style="1" customWidth="1"/>
    <col min="14841" max="14841" width="5.140625" style="1" customWidth="1"/>
    <col min="14842" max="14842" width="4.7109375" style="1" customWidth="1"/>
    <col min="14843" max="14843" width="8.140625" style="1" customWidth="1"/>
    <col min="14844" max="14844" width="8" style="1" customWidth="1"/>
    <col min="14845" max="14845" width="8.140625" style="1" customWidth="1"/>
    <col min="14846" max="14846" width="8.28515625" style="1" customWidth="1"/>
    <col min="14847" max="15078" width="9.140625" style="1" customWidth="1"/>
    <col min="15079" max="15079" width="2.85546875" style="1" customWidth="1"/>
    <col min="15080" max="15080" width="31.5703125" style="1" customWidth="1"/>
    <col min="15081" max="15081" width="8.140625" style="1" customWidth="1"/>
    <col min="15082" max="15082" width="7.28515625" style="1" customWidth="1"/>
    <col min="15083" max="15083" width="6.42578125" style="1" customWidth="1"/>
    <col min="15084" max="15084" width="6.28515625" style="1"/>
    <col min="15085" max="15085" width="2.85546875" style="1" customWidth="1"/>
    <col min="15086" max="15086" width="31.5703125" style="1" customWidth="1"/>
    <col min="15087" max="15087" width="8.140625" style="1" customWidth="1"/>
    <col min="15088" max="15088" width="7.28515625" style="1" customWidth="1"/>
    <col min="15089" max="15089" width="6.42578125" style="1" customWidth="1"/>
    <col min="15090" max="15090" width="6.28515625" style="1" customWidth="1"/>
    <col min="15091" max="15092" width="7.5703125" style="1" customWidth="1"/>
    <col min="15093" max="15094" width="7.140625" style="1" customWidth="1"/>
    <col min="15095" max="15095" width="7.42578125" style="1" customWidth="1"/>
    <col min="15096" max="15096" width="7.28515625" style="1" customWidth="1"/>
    <col min="15097" max="15097" width="5.140625" style="1" customWidth="1"/>
    <col min="15098" max="15098" width="4.7109375" style="1" customWidth="1"/>
    <col min="15099" max="15099" width="8.140625" style="1" customWidth="1"/>
    <col min="15100" max="15100" width="8" style="1" customWidth="1"/>
    <col min="15101" max="15101" width="8.140625" style="1" customWidth="1"/>
    <col min="15102" max="15102" width="8.28515625" style="1" customWidth="1"/>
    <col min="15103" max="15334" width="9.140625" style="1" customWidth="1"/>
    <col min="15335" max="15335" width="2.85546875" style="1" customWidth="1"/>
    <col min="15336" max="15336" width="31.5703125" style="1" customWidth="1"/>
    <col min="15337" max="15337" width="8.140625" style="1" customWidth="1"/>
    <col min="15338" max="15338" width="7.28515625" style="1" customWidth="1"/>
    <col min="15339" max="15339" width="6.42578125" style="1" customWidth="1"/>
    <col min="15340" max="15340" width="6.28515625" style="1"/>
    <col min="15341" max="15341" width="2.85546875" style="1" customWidth="1"/>
    <col min="15342" max="15342" width="31.5703125" style="1" customWidth="1"/>
    <col min="15343" max="15343" width="8.140625" style="1" customWidth="1"/>
    <col min="15344" max="15344" width="7.28515625" style="1" customWidth="1"/>
    <col min="15345" max="15345" width="6.42578125" style="1" customWidth="1"/>
    <col min="15346" max="15346" width="6.28515625" style="1" customWidth="1"/>
    <col min="15347" max="15348" width="7.5703125" style="1" customWidth="1"/>
    <col min="15349" max="15350" width="7.140625" style="1" customWidth="1"/>
    <col min="15351" max="15351" width="7.42578125" style="1" customWidth="1"/>
    <col min="15352" max="15352" width="7.28515625" style="1" customWidth="1"/>
    <col min="15353" max="15353" width="5.140625" style="1" customWidth="1"/>
    <col min="15354" max="15354" width="4.7109375" style="1" customWidth="1"/>
    <col min="15355" max="15355" width="8.140625" style="1" customWidth="1"/>
    <col min="15356" max="15356" width="8" style="1" customWidth="1"/>
    <col min="15357" max="15357" width="8.140625" style="1" customWidth="1"/>
    <col min="15358" max="15358" width="8.28515625" style="1" customWidth="1"/>
    <col min="15359" max="15590" width="9.140625" style="1" customWidth="1"/>
    <col min="15591" max="15591" width="2.85546875" style="1" customWidth="1"/>
    <col min="15592" max="15592" width="31.5703125" style="1" customWidth="1"/>
    <col min="15593" max="15593" width="8.140625" style="1" customWidth="1"/>
    <col min="15594" max="15594" width="7.28515625" style="1" customWidth="1"/>
    <col min="15595" max="15595" width="6.42578125" style="1" customWidth="1"/>
    <col min="15596" max="15596" width="6.28515625" style="1"/>
    <col min="15597" max="15597" width="2.85546875" style="1" customWidth="1"/>
    <col min="15598" max="15598" width="31.5703125" style="1" customWidth="1"/>
    <col min="15599" max="15599" width="8.140625" style="1" customWidth="1"/>
    <col min="15600" max="15600" width="7.28515625" style="1" customWidth="1"/>
    <col min="15601" max="15601" width="6.42578125" style="1" customWidth="1"/>
    <col min="15602" max="15602" width="6.28515625" style="1" customWidth="1"/>
    <col min="15603" max="15604" width="7.5703125" style="1" customWidth="1"/>
    <col min="15605" max="15606" width="7.140625" style="1" customWidth="1"/>
    <col min="15607" max="15607" width="7.42578125" style="1" customWidth="1"/>
    <col min="15608" max="15608" width="7.28515625" style="1" customWidth="1"/>
    <col min="15609" max="15609" width="5.140625" style="1" customWidth="1"/>
    <col min="15610" max="15610" width="4.7109375" style="1" customWidth="1"/>
    <col min="15611" max="15611" width="8.140625" style="1" customWidth="1"/>
    <col min="15612" max="15612" width="8" style="1" customWidth="1"/>
    <col min="15613" max="15613" width="8.140625" style="1" customWidth="1"/>
    <col min="15614" max="15614" width="8.28515625" style="1" customWidth="1"/>
    <col min="15615" max="15846" width="9.140625" style="1" customWidth="1"/>
    <col min="15847" max="15847" width="2.85546875" style="1" customWidth="1"/>
    <col min="15848" max="15848" width="31.5703125" style="1" customWidth="1"/>
    <col min="15849" max="15849" width="8.140625" style="1" customWidth="1"/>
    <col min="15850" max="15850" width="7.28515625" style="1" customWidth="1"/>
    <col min="15851" max="15851" width="6.42578125" style="1" customWidth="1"/>
    <col min="15852" max="15852" width="6.28515625" style="1"/>
    <col min="15853" max="15853" width="2.85546875" style="1" customWidth="1"/>
    <col min="15854" max="15854" width="31.5703125" style="1" customWidth="1"/>
    <col min="15855" max="15855" width="8.140625" style="1" customWidth="1"/>
    <col min="15856" max="15856" width="7.28515625" style="1" customWidth="1"/>
    <col min="15857" max="15857" width="6.42578125" style="1" customWidth="1"/>
    <col min="15858" max="15858" width="6.28515625" style="1" customWidth="1"/>
    <col min="15859" max="15860" width="7.5703125" style="1" customWidth="1"/>
    <col min="15861" max="15862" width="7.140625" style="1" customWidth="1"/>
    <col min="15863" max="15863" width="7.42578125" style="1" customWidth="1"/>
    <col min="15864" max="15864" width="7.28515625" style="1" customWidth="1"/>
    <col min="15865" max="15865" width="5.140625" style="1" customWidth="1"/>
    <col min="15866" max="15866" width="4.7109375" style="1" customWidth="1"/>
    <col min="15867" max="15867" width="8.140625" style="1" customWidth="1"/>
    <col min="15868" max="15868" width="8" style="1" customWidth="1"/>
    <col min="15869" max="15869" width="8.140625" style="1" customWidth="1"/>
    <col min="15870" max="15870" width="8.28515625" style="1" customWidth="1"/>
    <col min="15871" max="16102" width="9.140625" style="1" customWidth="1"/>
    <col min="16103" max="16103" width="2.85546875" style="1" customWidth="1"/>
    <col min="16104" max="16104" width="31.5703125" style="1" customWidth="1"/>
    <col min="16105" max="16105" width="8.140625" style="1" customWidth="1"/>
    <col min="16106" max="16106" width="7.28515625" style="1" customWidth="1"/>
    <col min="16107" max="16107" width="6.42578125" style="1" customWidth="1"/>
    <col min="16108" max="16108" width="6.28515625" style="1"/>
    <col min="16109" max="16109" width="2.85546875" style="1" customWidth="1"/>
    <col min="16110" max="16110" width="31.5703125" style="1" customWidth="1"/>
    <col min="16111" max="16111" width="8.140625" style="1" customWidth="1"/>
    <col min="16112" max="16112" width="7.28515625" style="1" customWidth="1"/>
    <col min="16113" max="16113" width="6.42578125" style="1" customWidth="1"/>
    <col min="16114" max="16114" width="6.28515625" style="1" customWidth="1"/>
    <col min="16115" max="16116" width="7.5703125" style="1" customWidth="1"/>
    <col min="16117" max="16118" width="7.140625" style="1" customWidth="1"/>
    <col min="16119" max="16119" width="7.42578125" style="1" customWidth="1"/>
    <col min="16120" max="16120" width="7.28515625" style="1" customWidth="1"/>
    <col min="16121" max="16121" width="5.140625" style="1" customWidth="1"/>
    <col min="16122" max="16122" width="4.7109375" style="1" customWidth="1"/>
    <col min="16123" max="16123" width="8.140625" style="1" customWidth="1"/>
    <col min="16124" max="16124" width="8" style="1" customWidth="1"/>
    <col min="16125" max="16125" width="8.140625" style="1" customWidth="1"/>
    <col min="16126" max="16126" width="8.28515625" style="1" customWidth="1"/>
    <col min="16127" max="16358" width="9.140625" style="1" customWidth="1"/>
    <col min="16359" max="16359" width="2.85546875" style="1" customWidth="1"/>
    <col min="16360" max="16360" width="31.5703125" style="1" customWidth="1"/>
    <col min="16361" max="16361" width="8.140625" style="1" customWidth="1"/>
    <col min="16362" max="16362" width="7.28515625" style="1" customWidth="1"/>
    <col min="16363" max="16363" width="6.42578125" style="1" customWidth="1"/>
    <col min="16364" max="16384" width="6.28515625" style="1"/>
  </cols>
  <sheetData>
    <row r="1" spans="1:8" x14ac:dyDescent="0.25">
      <c r="F1" s="26" t="s">
        <v>0</v>
      </c>
    </row>
    <row r="2" spans="1:8" x14ac:dyDescent="0.25">
      <c r="F2" s="26" t="s">
        <v>458</v>
      </c>
    </row>
    <row r="3" spans="1:8" x14ac:dyDescent="0.25">
      <c r="F3" s="26" t="s">
        <v>459</v>
      </c>
    </row>
    <row r="4" spans="1:8" x14ac:dyDescent="0.25">
      <c r="F4" s="2" t="s">
        <v>126</v>
      </c>
    </row>
    <row r="6" spans="1:8" x14ac:dyDescent="0.25">
      <c r="A6" s="505" t="s">
        <v>462</v>
      </c>
      <c r="B6" s="505"/>
      <c r="C6" s="505"/>
      <c r="D6" s="505"/>
      <c r="E6" s="505"/>
      <c r="F6" s="505"/>
    </row>
    <row r="7" spans="1:8" ht="14.25" customHeight="1" x14ac:dyDescent="0.25">
      <c r="A7" s="505"/>
      <c r="B7" s="505"/>
      <c r="C7" s="505"/>
      <c r="D7" s="30"/>
    </row>
    <row r="8" spans="1:8" ht="12" customHeight="1" x14ac:dyDescent="0.25">
      <c r="A8" s="4"/>
      <c r="B8" s="30"/>
      <c r="C8" s="30"/>
      <c r="D8" s="30"/>
      <c r="F8" s="23" t="s">
        <v>1</v>
      </c>
    </row>
    <row r="9" spans="1:8" ht="28.5" customHeight="1" x14ac:dyDescent="0.25">
      <c r="A9" s="212" t="s">
        <v>2</v>
      </c>
      <c r="B9" s="60" t="s">
        <v>57</v>
      </c>
      <c r="C9" s="69" t="s">
        <v>88</v>
      </c>
      <c r="D9" s="69" t="s">
        <v>89</v>
      </c>
      <c r="E9" s="68" t="s">
        <v>90</v>
      </c>
      <c r="F9" s="131" t="s">
        <v>194</v>
      </c>
    </row>
    <row r="10" spans="1:8" ht="14.1" customHeight="1" x14ac:dyDescent="0.25">
      <c r="A10" s="213">
        <v>1</v>
      </c>
      <c r="B10" s="591" t="s">
        <v>42</v>
      </c>
      <c r="C10" s="591"/>
      <c r="D10" s="591"/>
      <c r="E10" s="591"/>
      <c r="F10" s="591"/>
    </row>
    <row r="11" spans="1:8" s="10" customFormat="1" ht="14.1" customHeight="1" x14ac:dyDescent="0.2">
      <c r="A11" s="214">
        <f>+A10+1</f>
        <v>2</v>
      </c>
      <c r="B11" s="215" t="s">
        <v>60</v>
      </c>
      <c r="C11" s="216">
        <f>C12+C13+C16+C18+C30+C42+C36+C17+C15+C33+C41+C40+C39+C21+C14+C43+C19+C20+C31+C35+C32+C34+C37+C38</f>
        <v>16841.400000000001</v>
      </c>
      <c r="D11" s="216">
        <f>D12+D13+D16+D18+D30+D42+D36+D17+D15+D33+D41+D40+D39+D21+D14+D43+D19+D20+D31+D32</f>
        <v>778.45099999999991</v>
      </c>
      <c r="E11" s="216">
        <f>E12+E13+E16+E18+E30+E42+E36+E17+E15+E33+E41+E40+E39+E21+E14+E43+E19+E20</f>
        <v>184.95</v>
      </c>
      <c r="F11" s="217">
        <f>C11+D11+E11</f>
        <v>17804.801000000003</v>
      </c>
      <c r="G11" s="218"/>
      <c r="H11" s="218"/>
    </row>
    <row r="12" spans="1:8" s="10" customFormat="1" ht="14.1" customHeight="1" x14ac:dyDescent="0.2">
      <c r="A12" s="214">
        <f t="shared" ref="A12:A75" si="0">+A11+1</f>
        <v>3</v>
      </c>
      <c r="B12" s="219" t="s">
        <v>91</v>
      </c>
      <c r="C12" s="220">
        <v>9232.2000000000007</v>
      </c>
      <c r="D12" s="221">
        <f>66.456+12.9+45.9+84.3+9+97.292+3.26+31+0.62+19.5+151+74.4+3.7+38.596+55.3+24.419</f>
        <v>717.64299999999992</v>
      </c>
      <c r="E12" s="202">
        <f>180+4.95</f>
        <v>184.95</v>
      </c>
      <c r="F12" s="222">
        <f t="shared" ref="F12:F33" si="1">C12+D12+E12</f>
        <v>10134.793000000001</v>
      </c>
    </row>
    <row r="13" spans="1:8" s="10" customFormat="1" ht="14.1" customHeight="1" x14ac:dyDescent="0.2">
      <c r="A13" s="214">
        <f t="shared" si="0"/>
        <v>4</v>
      </c>
      <c r="B13" s="219" t="s">
        <v>393</v>
      </c>
      <c r="C13" s="220">
        <v>1553.9</v>
      </c>
      <c r="D13" s="196"/>
      <c r="E13" s="223"/>
      <c r="F13" s="222">
        <f t="shared" si="1"/>
        <v>1553.9</v>
      </c>
      <c r="G13" s="224"/>
    </row>
    <row r="14" spans="1:8" s="10" customFormat="1" ht="14.1" customHeight="1" x14ac:dyDescent="0.2">
      <c r="A14" s="214">
        <f t="shared" si="0"/>
        <v>5</v>
      </c>
      <c r="B14" s="219" t="s">
        <v>139</v>
      </c>
      <c r="C14" s="220">
        <v>9</v>
      </c>
      <c r="D14" s="221"/>
      <c r="E14" s="223"/>
      <c r="F14" s="222">
        <f t="shared" si="1"/>
        <v>9</v>
      </c>
    </row>
    <row r="15" spans="1:8" s="10" customFormat="1" ht="14.1" customHeight="1" x14ac:dyDescent="0.2">
      <c r="A15" s="214">
        <f t="shared" si="0"/>
        <v>6</v>
      </c>
      <c r="B15" s="225" t="s">
        <v>92</v>
      </c>
      <c r="C15" s="220">
        <v>807.8</v>
      </c>
      <c r="D15" s="223"/>
      <c r="E15" s="223"/>
      <c r="F15" s="222">
        <f t="shared" si="1"/>
        <v>807.8</v>
      </c>
    </row>
    <row r="16" spans="1:8" s="10" customFormat="1" ht="14.1" customHeight="1" x14ac:dyDescent="0.2">
      <c r="A16" s="214">
        <f t="shared" si="0"/>
        <v>7</v>
      </c>
      <c r="B16" s="226" t="s">
        <v>93</v>
      </c>
      <c r="C16" s="220">
        <v>29</v>
      </c>
      <c r="D16" s="223"/>
      <c r="E16" s="223"/>
      <c r="F16" s="222">
        <f t="shared" si="1"/>
        <v>29</v>
      </c>
    </row>
    <row r="17" spans="1:6" s="10" customFormat="1" ht="17.25" customHeight="1" x14ac:dyDescent="0.2">
      <c r="A17" s="214">
        <f t="shared" si="0"/>
        <v>8</v>
      </c>
      <c r="B17" s="60" t="s">
        <v>94</v>
      </c>
      <c r="C17" s="220">
        <v>50</v>
      </c>
      <c r="D17" s="223"/>
      <c r="E17" s="223"/>
      <c r="F17" s="222">
        <f t="shared" si="1"/>
        <v>50</v>
      </c>
    </row>
    <row r="18" spans="1:6" s="10" customFormat="1" ht="27.6" customHeight="1" x14ac:dyDescent="0.25">
      <c r="A18" s="214">
        <f t="shared" si="0"/>
        <v>9</v>
      </c>
      <c r="B18" s="60" t="s">
        <v>271</v>
      </c>
      <c r="C18" s="202">
        <v>560</v>
      </c>
      <c r="D18" s="223"/>
      <c r="E18" s="223"/>
      <c r="F18" s="222">
        <f t="shared" si="1"/>
        <v>560</v>
      </c>
    </row>
    <row r="19" spans="1:6" s="10" customFormat="1" ht="18" customHeight="1" x14ac:dyDescent="0.25">
      <c r="A19" s="214">
        <f t="shared" si="0"/>
        <v>10</v>
      </c>
      <c r="B19" s="60" t="s">
        <v>205</v>
      </c>
      <c r="C19" s="202">
        <v>700</v>
      </c>
      <c r="D19" s="202"/>
      <c r="E19" s="223"/>
      <c r="F19" s="222">
        <f t="shared" si="1"/>
        <v>700</v>
      </c>
    </row>
    <row r="20" spans="1:6" s="10" customFormat="1" ht="24.6" customHeight="1" x14ac:dyDescent="0.2">
      <c r="A20" s="213">
        <v>11</v>
      </c>
      <c r="B20" s="60" t="s">
        <v>284</v>
      </c>
      <c r="C20" s="202">
        <v>75</v>
      </c>
      <c r="D20" s="202"/>
      <c r="E20" s="223"/>
      <c r="F20" s="222">
        <f t="shared" si="1"/>
        <v>75</v>
      </c>
    </row>
    <row r="21" spans="1:6" s="10" customFormat="1" ht="17.25" customHeight="1" x14ac:dyDescent="0.25">
      <c r="A21" s="214">
        <f t="shared" ref="A21" si="2">+A20+1</f>
        <v>12</v>
      </c>
      <c r="B21" s="225" t="s">
        <v>410</v>
      </c>
      <c r="C21" s="202">
        <f>C22+C23+C24+C25+C26+C27+C28+C29</f>
        <v>250.39999999999998</v>
      </c>
      <c r="D21" s="202">
        <f>+SUM(D22:D29)</f>
        <v>60.807999999999993</v>
      </c>
      <c r="E21" s="223"/>
      <c r="F21" s="222">
        <f t="shared" si="1"/>
        <v>311.20799999999997</v>
      </c>
    </row>
    <row r="22" spans="1:6" s="10" customFormat="1" ht="17.100000000000001" customHeight="1" x14ac:dyDescent="0.2">
      <c r="A22" s="214">
        <f t="shared" si="0"/>
        <v>13</v>
      </c>
      <c r="B22" s="227" t="s">
        <v>46</v>
      </c>
      <c r="C22" s="220">
        <v>16.3</v>
      </c>
      <c r="D22" s="202">
        <v>6.08</v>
      </c>
      <c r="E22" s="229"/>
      <c r="F22" s="230">
        <f t="shared" si="1"/>
        <v>22.380000000000003</v>
      </c>
    </row>
    <row r="23" spans="1:6" s="10" customFormat="1" ht="17.100000000000001" customHeight="1" x14ac:dyDescent="0.2">
      <c r="A23" s="214">
        <f t="shared" si="0"/>
        <v>14</v>
      </c>
      <c r="B23" s="227" t="s">
        <v>47</v>
      </c>
      <c r="C23" s="220">
        <v>5.0999999999999996</v>
      </c>
      <c r="D23" s="202">
        <v>4.056</v>
      </c>
      <c r="E23" s="229"/>
      <c r="F23" s="230">
        <f t="shared" si="1"/>
        <v>9.1559999999999988</v>
      </c>
    </row>
    <row r="24" spans="1:6" s="10" customFormat="1" ht="17.100000000000001" customHeight="1" x14ac:dyDescent="0.2">
      <c r="A24" s="214">
        <f t="shared" si="0"/>
        <v>15</v>
      </c>
      <c r="B24" s="227" t="s">
        <v>44</v>
      </c>
      <c r="C24" s="220">
        <v>97.3</v>
      </c>
      <c r="D24" s="202">
        <v>10.135</v>
      </c>
      <c r="E24" s="229"/>
      <c r="F24" s="230">
        <f t="shared" si="1"/>
        <v>107.435</v>
      </c>
    </row>
    <row r="25" spans="1:6" s="10" customFormat="1" ht="17.100000000000001" customHeight="1" x14ac:dyDescent="0.2">
      <c r="A25" s="214">
        <f t="shared" si="0"/>
        <v>16</v>
      </c>
      <c r="B25" s="227" t="s">
        <v>48</v>
      </c>
      <c r="C25" s="220">
        <v>12.5</v>
      </c>
      <c r="D25" s="202">
        <v>10.135</v>
      </c>
      <c r="E25" s="229"/>
      <c r="F25" s="230">
        <f t="shared" si="1"/>
        <v>22.634999999999998</v>
      </c>
    </row>
    <row r="26" spans="1:6" s="10" customFormat="1" ht="17.100000000000001" customHeight="1" x14ac:dyDescent="0.2">
      <c r="A26" s="214">
        <f t="shared" si="0"/>
        <v>17</v>
      </c>
      <c r="B26" s="227" t="s">
        <v>49</v>
      </c>
      <c r="C26" s="220">
        <v>9.9</v>
      </c>
      <c r="D26" s="202">
        <v>6.08</v>
      </c>
      <c r="E26" s="229"/>
      <c r="F26" s="230">
        <f t="shared" si="1"/>
        <v>15.98</v>
      </c>
    </row>
    <row r="27" spans="1:6" s="10" customFormat="1" ht="17.100000000000001" customHeight="1" x14ac:dyDescent="0.2">
      <c r="A27" s="214">
        <f t="shared" si="0"/>
        <v>18</v>
      </c>
      <c r="B27" s="227" t="s">
        <v>50</v>
      </c>
      <c r="C27" s="220">
        <v>25.2</v>
      </c>
      <c r="D27" s="202">
        <v>6.08</v>
      </c>
      <c r="E27" s="229"/>
      <c r="F27" s="230">
        <f t="shared" si="1"/>
        <v>31.28</v>
      </c>
    </row>
    <row r="28" spans="1:6" s="10" customFormat="1" ht="17.100000000000001" customHeight="1" x14ac:dyDescent="0.2">
      <c r="A28" s="214">
        <f t="shared" si="0"/>
        <v>19</v>
      </c>
      <c r="B28" s="227" t="s">
        <v>51</v>
      </c>
      <c r="C28" s="220">
        <v>21.1</v>
      </c>
      <c r="D28" s="202">
        <v>6.08</v>
      </c>
      <c r="E28" s="229"/>
      <c r="F28" s="230">
        <f t="shared" si="1"/>
        <v>27.18</v>
      </c>
    </row>
    <row r="29" spans="1:6" s="10" customFormat="1" ht="17.100000000000001" customHeight="1" x14ac:dyDescent="0.2">
      <c r="A29" s="214">
        <f t="shared" si="0"/>
        <v>20</v>
      </c>
      <c r="B29" s="480" t="s">
        <v>45</v>
      </c>
      <c r="C29" s="220">
        <v>63</v>
      </c>
      <c r="D29" s="202">
        <v>12.162000000000001</v>
      </c>
      <c r="E29" s="229"/>
      <c r="F29" s="230">
        <f t="shared" si="1"/>
        <v>75.162000000000006</v>
      </c>
    </row>
    <row r="30" spans="1:6" s="10" customFormat="1" ht="18.75" customHeight="1" x14ac:dyDescent="0.2">
      <c r="A30" s="213">
        <v>21</v>
      </c>
      <c r="B30" s="225" t="s">
        <v>300</v>
      </c>
      <c r="C30" s="202">
        <v>10</v>
      </c>
      <c r="D30" s="202"/>
      <c r="E30" s="223"/>
      <c r="F30" s="222">
        <f t="shared" si="1"/>
        <v>10</v>
      </c>
    </row>
    <row r="31" spans="1:6" s="10" customFormat="1" ht="23.25" customHeight="1" x14ac:dyDescent="0.25">
      <c r="A31" s="214">
        <f t="shared" ref="A31" si="3">+A30+1</f>
        <v>22</v>
      </c>
      <c r="B31" s="481" t="s">
        <v>241</v>
      </c>
      <c r="C31" s="202">
        <v>15</v>
      </c>
      <c r="D31" s="202"/>
      <c r="E31" s="223"/>
      <c r="F31" s="222">
        <f t="shared" si="1"/>
        <v>15</v>
      </c>
    </row>
    <row r="32" spans="1:6" s="10" customFormat="1" ht="18" customHeight="1" x14ac:dyDescent="0.25">
      <c r="A32" s="214">
        <f t="shared" si="0"/>
        <v>23</v>
      </c>
      <c r="B32" s="482" t="s">
        <v>337</v>
      </c>
      <c r="C32" s="202">
        <v>55</v>
      </c>
      <c r="D32" s="202"/>
      <c r="E32" s="223"/>
      <c r="F32" s="222">
        <f>C32+D32+E32</f>
        <v>55</v>
      </c>
    </row>
    <row r="33" spans="1:8" s="10" customFormat="1" ht="26.25" customHeight="1" x14ac:dyDescent="0.25">
      <c r="A33" s="214">
        <f t="shared" si="0"/>
        <v>24</v>
      </c>
      <c r="B33" s="225" t="s">
        <v>239</v>
      </c>
      <c r="C33" s="202">
        <v>440</v>
      </c>
      <c r="D33" s="223"/>
      <c r="E33" s="223"/>
      <c r="F33" s="222">
        <f t="shared" si="1"/>
        <v>440</v>
      </c>
    </row>
    <row r="34" spans="1:8" s="10" customFormat="1" ht="26.25" customHeight="1" x14ac:dyDescent="0.25">
      <c r="A34" s="214">
        <f t="shared" si="0"/>
        <v>25</v>
      </c>
      <c r="B34" s="225" t="s">
        <v>272</v>
      </c>
      <c r="C34" s="202">
        <v>130</v>
      </c>
      <c r="D34" s="223"/>
      <c r="E34" s="223"/>
      <c r="F34" s="222">
        <f>C34+D34+E34</f>
        <v>130</v>
      </c>
    </row>
    <row r="35" spans="1:8" s="10" customFormat="1" ht="26.25" customHeight="1" x14ac:dyDescent="0.25">
      <c r="A35" s="214">
        <f t="shared" si="0"/>
        <v>26</v>
      </c>
      <c r="B35" s="225" t="s">
        <v>240</v>
      </c>
      <c r="C35" s="202">
        <v>400</v>
      </c>
      <c r="D35" s="223"/>
      <c r="E35" s="223"/>
      <c r="F35" s="222">
        <f>C35+D35+E35</f>
        <v>400</v>
      </c>
    </row>
    <row r="36" spans="1:8" s="10" customFormat="1" ht="16.5" customHeight="1" x14ac:dyDescent="0.2">
      <c r="A36" s="214">
        <f t="shared" si="0"/>
        <v>27</v>
      </c>
      <c r="B36" s="60" t="s">
        <v>97</v>
      </c>
      <c r="C36" s="220">
        <v>24.1</v>
      </c>
      <c r="D36" s="221"/>
      <c r="E36" s="223"/>
      <c r="F36" s="222">
        <f>C36+D36+E36</f>
        <v>24.1</v>
      </c>
    </row>
    <row r="37" spans="1:8" s="10" customFormat="1" ht="26.25" customHeight="1" x14ac:dyDescent="0.25">
      <c r="A37" s="214">
        <f t="shared" si="0"/>
        <v>28</v>
      </c>
      <c r="B37" s="60" t="s">
        <v>338</v>
      </c>
      <c r="C37" s="202">
        <v>120</v>
      </c>
      <c r="D37" s="221"/>
      <c r="E37" s="223"/>
      <c r="F37" s="222">
        <f>+C37+D37+E37</f>
        <v>120</v>
      </c>
    </row>
    <row r="38" spans="1:8" s="10" customFormat="1" ht="15" customHeight="1" x14ac:dyDescent="0.2">
      <c r="A38" s="214">
        <f t="shared" si="0"/>
        <v>29</v>
      </c>
      <c r="B38" s="60" t="s">
        <v>353</v>
      </c>
      <c r="C38" s="202">
        <v>150</v>
      </c>
      <c r="D38" s="221"/>
      <c r="E38" s="223"/>
      <c r="F38" s="231">
        <f>+C38+D38+E38</f>
        <v>150</v>
      </c>
    </row>
    <row r="39" spans="1:8" s="10" customFormat="1" ht="14.1" customHeight="1" x14ac:dyDescent="0.2">
      <c r="A39" s="214">
        <f t="shared" si="0"/>
        <v>30</v>
      </c>
      <c r="B39" s="60" t="s">
        <v>327</v>
      </c>
      <c r="C39" s="220">
        <v>50</v>
      </c>
      <c r="D39" s="221"/>
      <c r="E39" s="223"/>
      <c r="F39" s="222">
        <f>C39+D39+E39</f>
        <v>50</v>
      </c>
    </row>
    <row r="40" spans="1:8" s="10" customFormat="1" ht="26.25" customHeight="1" x14ac:dyDescent="0.2">
      <c r="A40" s="213">
        <v>31</v>
      </c>
      <c r="B40" s="60" t="s">
        <v>95</v>
      </c>
      <c r="C40" s="202">
        <v>400</v>
      </c>
      <c r="D40" s="223"/>
      <c r="E40" s="223"/>
      <c r="F40" s="222">
        <f t="shared" ref="F40:F45" si="4">C40+D40+E40</f>
        <v>400</v>
      </c>
    </row>
    <row r="41" spans="1:8" s="10" customFormat="1" ht="19.5" customHeight="1" x14ac:dyDescent="0.2">
      <c r="A41" s="214">
        <f t="shared" ref="A41" si="5">+A40+1</f>
        <v>32</v>
      </c>
      <c r="B41" s="60" t="s">
        <v>394</v>
      </c>
      <c r="C41" s="220">
        <v>140</v>
      </c>
      <c r="D41" s="223"/>
      <c r="E41" s="223"/>
      <c r="F41" s="222">
        <f t="shared" si="4"/>
        <v>140</v>
      </c>
    </row>
    <row r="42" spans="1:8" s="10" customFormat="1" ht="14.1" customHeight="1" x14ac:dyDescent="0.2">
      <c r="A42" s="214">
        <f t="shared" si="0"/>
        <v>33</v>
      </c>
      <c r="B42" s="60" t="s">
        <v>96</v>
      </c>
      <c r="C42" s="220">
        <v>140</v>
      </c>
      <c r="D42" s="221"/>
      <c r="E42" s="223"/>
      <c r="F42" s="222">
        <f t="shared" si="4"/>
        <v>140</v>
      </c>
    </row>
    <row r="43" spans="1:8" ht="17.45" customHeight="1" x14ac:dyDescent="0.25">
      <c r="A43" s="214">
        <f t="shared" si="0"/>
        <v>34</v>
      </c>
      <c r="B43" s="232" t="s">
        <v>206</v>
      </c>
      <c r="C43" s="220">
        <v>1500</v>
      </c>
      <c r="D43" s="220"/>
      <c r="E43" s="233"/>
      <c r="F43" s="231">
        <f t="shared" si="4"/>
        <v>1500</v>
      </c>
    </row>
    <row r="44" spans="1:8" s="10" customFormat="1" ht="16.5" customHeight="1" x14ac:dyDescent="0.25">
      <c r="A44" s="214">
        <f t="shared" si="0"/>
        <v>35</v>
      </c>
      <c r="B44" s="483" t="s">
        <v>98</v>
      </c>
      <c r="C44" s="196">
        <v>111.15</v>
      </c>
      <c r="D44" s="484"/>
      <c r="E44" s="485"/>
      <c r="F44" s="217">
        <f t="shared" si="4"/>
        <v>111.15</v>
      </c>
    </row>
    <row r="45" spans="1:8" s="10" customFormat="1" ht="24" customHeight="1" x14ac:dyDescent="0.25">
      <c r="A45" s="214">
        <f t="shared" si="0"/>
        <v>36</v>
      </c>
      <c r="B45" s="486" t="s">
        <v>339</v>
      </c>
      <c r="C45" s="196">
        <v>3500</v>
      </c>
      <c r="D45" s="223"/>
      <c r="E45" s="223"/>
      <c r="F45" s="217">
        <f t="shared" si="4"/>
        <v>3500</v>
      </c>
    </row>
    <row r="46" spans="1:8" s="10" customFormat="1" ht="14.1" customHeight="1" x14ac:dyDescent="0.25">
      <c r="A46" s="214">
        <f t="shared" si="0"/>
        <v>37</v>
      </c>
      <c r="B46" s="234" t="s">
        <v>52</v>
      </c>
      <c r="C46" s="196">
        <v>279.39999999999998</v>
      </c>
      <c r="D46" s="221">
        <f>900.1+314.324</f>
        <v>1214.424</v>
      </c>
      <c r="E46" s="221"/>
      <c r="F46" s="217">
        <f>C46+D46+E46</f>
        <v>1493.8240000000001</v>
      </c>
      <c r="G46" s="235"/>
      <c r="H46" s="487"/>
    </row>
    <row r="47" spans="1:8" s="10" customFormat="1" ht="14.1" customHeight="1" x14ac:dyDescent="0.25">
      <c r="A47" s="214">
        <f t="shared" si="0"/>
        <v>38</v>
      </c>
      <c r="B47" s="236" t="s">
        <v>53</v>
      </c>
      <c r="C47" s="217">
        <f>C11+C44+C45+C46</f>
        <v>20731.950000000004</v>
      </c>
      <c r="D47" s="217">
        <f>D11+D44+D45+D46</f>
        <v>1992.875</v>
      </c>
      <c r="E47" s="217">
        <f>E11+E44+E45+E46</f>
        <v>184.95</v>
      </c>
      <c r="F47" s="217">
        <f>C47+D47+E47</f>
        <v>22909.775000000005</v>
      </c>
      <c r="G47" s="237"/>
    </row>
    <row r="48" spans="1:8" s="10" customFormat="1" ht="14.1" customHeight="1" x14ac:dyDescent="0.25">
      <c r="A48" s="214">
        <f t="shared" si="0"/>
        <v>39</v>
      </c>
      <c r="B48" s="591" t="s">
        <v>54</v>
      </c>
      <c r="C48" s="591"/>
      <c r="D48" s="591"/>
      <c r="E48" s="591"/>
      <c r="F48" s="591"/>
    </row>
    <row r="49" spans="1:10" s="10" customFormat="1" ht="14.1" customHeight="1" x14ac:dyDescent="0.25">
      <c r="A49" s="214">
        <f t="shared" si="0"/>
        <v>40</v>
      </c>
      <c r="B49" s="215" t="s">
        <v>60</v>
      </c>
      <c r="C49" s="217">
        <f>C50+C51+C52+C53+C54+C59+C55+C56+C57+C61</f>
        <v>5093.3820000000005</v>
      </c>
      <c r="D49" s="217">
        <f>D50+D51+D52+D53+D54+D59+D55+D56+D57+D61+D58+D60+D62</f>
        <v>3252.2159999999994</v>
      </c>
      <c r="E49" s="217">
        <f>E50+E51+E52+E53+E54+E59+E55+E56+E57+E61</f>
        <v>0</v>
      </c>
      <c r="F49" s="217">
        <f>F50+F51+F52+F53+F54+F59+F55+F56+F57+F61+F58+F60+F62</f>
        <v>8345.598</v>
      </c>
      <c r="G49" s="218"/>
    </row>
    <row r="50" spans="1:10" s="10" customFormat="1" ht="14.1" customHeight="1" x14ac:dyDescent="0.2">
      <c r="A50" s="213">
        <v>41</v>
      </c>
      <c r="B50" s="219" t="s">
        <v>100</v>
      </c>
      <c r="C50" s="220">
        <v>1242</v>
      </c>
      <c r="D50" s="202"/>
      <c r="E50" s="202"/>
      <c r="F50" s="217">
        <f t="shared" ref="F50:F66" si="6">C50+D50+E50</f>
        <v>1242</v>
      </c>
    </row>
    <row r="51" spans="1:10" s="10" customFormat="1" ht="24.75" customHeight="1" x14ac:dyDescent="0.2">
      <c r="A51" s="214">
        <f t="shared" ref="A51" si="7">+A50+1</f>
        <v>42</v>
      </c>
      <c r="B51" s="60" t="s">
        <v>101</v>
      </c>
      <c r="C51" s="220">
        <v>976</v>
      </c>
      <c r="D51" s="202"/>
      <c r="E51" s="202"/>
      <c r="F51" s="217">
        <f t="shared" si="6"/>
        <v>976</v>
      </c>
    </row>
    <row r="52" spans="1:10" s="10" customFormat="1" ht="15.75" customHeight="1" x14ac:dyDescent="0.2">
      <c r="A52" s="214">
        <f t="shared" si="0"/>
        <v>43</v>
      </c>
      <c r="B52" s="60" t="s">
        <v>354</v>
      </c>
      <c r="C52" s="220">
        <f>2710-59.674-33.689-173.892</f>
        <v>2442.7450000000003</v>
      </c>
      <c r="D52" s="202">
        <f>5.4+303.4+890.1+2242+0.6-670-72</f>
        <v>2699.5</v>
      </c>
      <c r="E52" s="202"/>
      <c r="F52" s="217">
        <f t="shared" si="6"/>
        <v>5142.2450000000008</v>
      </c>
      <c r="G52" s="488"/>
    </row>
    <row r="53" spans="1:10" s="10" customFormat="1" ht="25.5" customHeight="1" x14ac:dyDescent="0.2">
      <c r="A53" s="214">
        <f t="shared" si="0"/>
        <v>44</v>
      </c>
      <c r="B53" s="60" t="s">
        <v>103</v>
      </c>
      <c r="C53" s="220">
        <f>65+15</f>
        <v>80</v>
      </c>
      <c r="D53" s="202"/>
      <c r="E53" s="202"/>
      <c r="F53" s="217">
        <f t="shared" si="6"/>
        <v>80</v>
      </c>
    </row>
    <row r="54" spans="1:10" s="10" customFormat="1" ht="26.25" customHeight="1" x14ac:dyDescent="0.25">
      <c r="A54" s="214">
        <f t="shared" si="0"/>
        <v>45</v>
      </c>
      <c r="B54" s="60" t="s">
        <v>104</v>
      </c>
      <c r="C54" s="202">
        <v>10</v>
      </c>
      <c r="D54" s="202"/>
      <c r="E54" s="202"/>
      <c r="F54" s="217">
        <f t="shared" si="6"/>
        <v>10</v>
      </c>
      <c r="G54" s="113"/>
      <c r="J54" s="218"/>
    </row>
    <row r="55" spans="1:10" s="10" customFormat="1" ht="26.25" customHeight="1" x14ac:dyDescent="0.25">
      <c r="A55" s="214">
        <f t="shared" si="0"/>
        <v>46</v>
      </c>
      <c r="B55" s="60" t="s">
        <v>141</v>
      </c>
      <c r="C55" s="202">
        <v>173.892</v>
      </c>
      <c r="D55" s="202">
        <v>130</v>
      </c>
      <c r="E55" s="202"/>
      <c r="F55" s="217">
        <f t="shared" si="6"/>
        <v>303.892</v>
      </c>
    </row>
    <row r="56" spans="1:10" s="10" customFormat="1" ht="26.25" customHeight="1" x14ac:dyDescent="0.2">
      <c r="A56" s="214">
        <f t="shared" si="0"/>
        <v>47</v>
      </c>
      <c r="B56" s="489" t="s">
        <v>231</v>
      </c>
      <c r="C56" s="202">
        <v>59.673999999999999</v>
      </c>
      <c r="D56" s="202">
        <f>75.036</f>
        <v>75.036000000000001</v>
      </c>
      <c r="E56" s="202"/>
      <c r="F56" s="217">
        <f t="shared" si="6"/>
        <v>134.71</v>
      </c>
    </row>
    <row r="57" spans="1:10" ht="16.899999999999999" customHeight="1" x14ac:dyDescent="0.25">
      <c r="A57" s="214">
        <f t="shared" si="0"/>
        <v>48</v>
      </c>
      <c r="B57" s="238" t="s">
        <v>427</v>
      </c>
      <c r="C57" s="220">
        <f>33.689</f>
        <v>33.689</v>
      </c>
      <c r="D57" s="220">
        <f>52.569</f>
        <v>52.569000000000003</v>
      </c>
      <c r="E57" s="220"/>
      <c r="F57" s="216">
        <f>C57+D57+E57</f>
        <v>86.25800000000001</v>
      </c>
    </row>
    <row r="58" spans="1:10" ht="16.899999999999999" customHeight="1" x14ac:dyDescent="0.25">
      <c r="A58" s="214">
        <f t="shared" si="0"/>
        <v>49</v>
      </c>
      <c r="B58" s="238" t="s">
        <v>357</v>
      </c>
      <c r="C58" s="220"/>
      <c r="D58" s="220">
        <v>81.632999999999996</v>
      </c>
      <c r="E58" s="220"/>
      <c r="F58" s="216">
        <f>+C58+D58+E58</f>
        <v>81.632999999999996</v>
      </c>
    </row>
    <row r="59" spans="1:10" s="10" customFormat="1" ht="18" customHeight="1" x14ac:dyDescent="0.25">
      <c r="A59" s="214">
        <f t="shared" si="0"/>
        <v>50</v>
      </c>
      <c r="B59" s="60" t="s">
        <v>364</v>
      </c>
      <c r="C59" s="490">
        <v>75.382000000000005</v>
      </c>
      <c r="D59" s="202"/>
      <c r="E59" s="202"/>
      <c r="F59" s="217">
        <f t="shared" si="6"/>
        <v>75.382000000000005</v>
      </c>
    </row>
    <row r="60" spans="1:10" s="10" customFormat="1" ht="18" customHeight="1" x14ac:dyDescent="0.2">
      <c r="A60" s="213">
        <v>51</v>
      </c>
      <c r="B60" s="60" t="s">
        <v>358</v>
      </c>
      <c r="C60" s="490"/>
      <c r="D60" s="202">
        <f>32.5</f>
        <v>32.5</v>
      </c>
      <c r="E60" s="202"/>
      <c r="F60" s="217">
        <f>+C60+D60+E60</f>
        <v>32.5</v>
      </c>
    </row>
    <row r="61" spans="1:10" s="10" customFormat="1" ht="46.15" customHeight="1" x14ac:dyDescent="0.25">
      <c r="A61" s="214">
        <f t="shared" ref="A61" si="8">+A60+1</f>
        <v>52</v>
      </c>
      <c r="B61" s="225" t="s">
        <v>463</v>
      </c>
      <c r="C61" s="202"/>
      <c r="D61" s="202">
        <f>86.4+5.2-2.9</f>
        <v>88.7</v>
      </c>
      <c r="E61" s="202"/>
      <c r="F61" s="217">
        <f t="shared" si="6"/>
        <v>88.7</v>
      </c>
    </row>
    <row r="62" spans="1:10" s="10" customFormat="1" x14ac:dyDescent="0.25">
      <c r="A62" s="214">
        <f t="shared" si="0"/>
        <v>53</v>
      </c>
      <c r="B62" s="225" t="s">
        <v>182</v>
      </c>
      <c r="C62" s="202"/>
      <c r="D62" s="202">
        <v>92.278000000000006</v>
      </c>
      <c r="E62" s="202"/>
      <c r="F62" s="217">
        <f>+SUM(C62:E62)</f>
        <v>92.278000000000006</v>
      </c>
    </row>
    <row r="63" spans="1:10" s="10" customFormat="1" ht="16.5" customHeight="1" x14ac:dyDescent="0.2">
      <c r="A63" s="214">
        <f t="shared" si="0"/>
        <v>54</v>
      </c>
      <c r="B63" s="239" t="s">
        <v>56</v>
      </c>
      <c r="C63" s="491">
        <v>12.6</v>
      </c>
      <c r="D63" s="220">
        <v>412.82</v>
      </c>
      <c r="E63" s="202">
        <v>8</v>
      </c>
      <c r="F63" s="217">
        <f t="shared" si="6"/>
        <v>433.42</v>
      </c>
    </row>
    <row r="64" spans="1:10" s="10" customFormat="1" ht="22.15" customHeight="1" x14ac:dyDescent="0.2">
      <c r="A64" s="214">
        <f t="shared" si="0"/>
        <v>55</v>
      </c>
      <c r="B64" s="239" t="s">
        <v>68</v>
      </c>
      <c r="C64" s="491">
        <f>801.1-9.332</f>
        <v>791.76800000000003</v>
      </c>
      <c r="D64" s="220">
        <f>151.171+9.332+28.14</f>
        <v>188.64299999999997</v>
      </c>
      <c r="E64" s="202">
        <v>112</v>
      </c>
      <c r="F64" s="217">
        <f t="shared" si="6"/>
        <v>1092.4110000000001</v>
      </c>
      <c r="G64" s="492"/>
    </row>
    <row r="65" spans="1:8" s="10" customFormat="1" ht="16.5" customHeight="1" x14ac:dyDescent="0.2">
      <c r="A65" s="214">
        <f t="shared" si="0"/>
        <v>56</v>
      </c>
      <c r="B65" s="239" t="s">
        <v>106</v>
      </c>
      <c r="C65" s="491">
        <f>559.97-22.663</f>
        <v>537.30700000000002</v>
      </c>
      <c r="D65" s="220">
        <f>22.663+2.814</f>
        <v>25.477</v>
      </c>
      <c r="E65" s="202">
        <v>270</v>
      </c>
      <c r="F65" s="217">
        <f t="shared" si="6"/>
        <v>832.78399999999999</v>
      </c>
    </row>
    <row r="66" spans="1:8" s="10" customFormat="1" ht="22.9" customHeight="1" x14ac:dyDescent="0.2">
      <c r="A66" s="214">
        <f t="shared" si="0"/>
        <v>57</v>
      </c>
      <c r="B66" s="483" t="s">
        <v>55</v>
      </c>
      <c r="C66" s="493">
        <f>827.1-11.332</f>
        <v>815.76800000000003</v>
      </c>
      <c r="D66" s="220">
        <f>26.4+11.332+670+72</f>
        <v>779.73199999999997</v>
      </c>
      <c r="E66" s="202">
        <v>0.5</v>
      </c>
      <c r="F66" s="217">
        <f t="shared" si="6"/>
        <v>1596</v>
      </c>
      <c r="H66" s="240"/>
    </row>
    <row r="67" spans="1:8" s="10" customFormat="1" ht="14.1" customHeight="1" x14ac:dyDescent="0.25">
      <c r="A67" s="214">
        <f t="shared" si="0"/>
        <v>58</v>
      </c>
      <c r="B67" s="236" t="s">
        <v>53</v>
      </c>
      <c r="C67" s="217">
        <f>C49+C64+C65+C66+C63</f>
        <v>7250.8250000000007</v>
      </c>
      <c r="D67" s="217">
        <f>D49+D64+D65+D66+D63</f>
        <v>4658.887999999999</v>
      </c>
      <c r="E67" s="217">
        <f>E49+E64+E65+E66+E63</f>
        <v>390.5</v>
      </c>
      <c r="F67" s="217">
        <f>F49+F64+F65+F66+F63</f>
        <v>12300.213</v>
      </c>
      <c r="G67" s="237"/>
    </row>
    <row r="68" spans="1:8" s="10" customFormat="1" ht="14.1" customHeight="1" x14ac:dyDescent="0.25">
      <c r="A68" s="214">
        <f t="shared" si="0"/>
        <v>59</v>
      </c>
      <c r="B68" s="591" t="s">
        <v>270</v>
      </c>
      <c r="C68" s="591"/>
      <c r="D68" s="591"/>
      <c r="E68" s="591"/>
      <c r="F68" s="591"/>
    </row>
    <row r="69" spans="1:8" s="10" customFormat="1" ht="14.1" customHeight="1" x14ac:dyDescent="0.25">
      <c r="A69" s="214">
        <f t="shared" si="0"/>
        <v>60</v>
      </c>
      <c r="B69" s="483" t="s">
        <v>60</v>
      </c>
      <c r="C69" s="241">
        <f>C70+C72+C75+C73+C71+C74</f>
        <v>3513.3240000000001</v>
      </c>
      <c r="D69" s="241">
        <f>D70+D72+D75+D73+D71+D74</f>
        <v>0</v>
      </c>
      <c r="E69" s="241">
        <f>E70+E72+E75+E73+E71+E74</f>
        <v>0</v>
      </c>
      <c r="F69" s="241">
        <f>F70+F72+F75+F73+F71+F74</f>
        <v>3513.3240000000001</v>
      </c>
    </row>
    <row r="70" spans="1:8" s="10" customFormat="1" ht="19.5" customHeight="1" x14ac:dyDescent="0.2">
      <c r="A70" s="213">
        <v>61</v>
      </c>
      <c r="B70" s="494" t="s">
        <v>107</v>
      </c>
      <c r="C70" s="490">
        <v>566.32399999999996</v>
      </c>
      <c r="D70" s="490"/>
      <c r="E70" s="490"/>
      <c r="F70" s="241">
        <f t="shared" ref="F70:F76" si="9">C70+D70+E70</f>
        <v>566.32399999999996</v>
      </c>
      <c r="G70" s="224"/>
      <c r="H70" s="218"/>
    </row>
    <row r="71" spans="1:8" s="10" customFormat="1" ht="15" customHeight="1" x14ac:dyDescent="0.25">
      <c r="A71" s="214">
        <f t="shared" ref="A71" si="10">+A70+1</f>
        <v>62</v>
      </c>
      <c r="B71" s="495" t="s">
        <v>105</v>
      </c>
      <c r="C71" s="490">
        <v>27</v>
      </c>
      <c r="D71" s="490"/>
      <c r="E71" s="490"/>
      <c r="F71" s="241">
        <f t="shared" si="9"/>
        <v>27</v>
      </c>
      <c r="G71" s="224"/>
      <c r="H71" s="235"/>
    </row>
    <row r="72" spans="1:8" s="10" customFormat="1" ht="18" customHeight="1" x14ac:dyDescent="0.25">
      <c r="A72" s="214">
        <f t="shared" si="0"/>
        <v>63</v>
      </c>
      <c r="B72" s="495" t="s">
        <v>395</v>
      </c>
      <c r="C72" s="496">
        <v>205</v>
      </c>
      <c r="D72" s="497"/>
      <c r="E72" s="497"/>
      <c r="F72" s="241">
        <f t="shared" si="9"/>
        <v>205</v>
      </c>
    </row>
    <row r="73" spans="1:8" s="10" customFormat="1" ht="15.75" customHeight="1" x14ac:dyDescent="0.25">
      <c r="A73" s="214">
        <f t="shared" si="0"/>
        <v>64</v>
      </c>
      <c r="B73" s="60" t="s">
        <v>128</v>
      </c>
      <c r="C73" s="196">
        <v>1900</v>
      </c>
      <c r="D73" s="202"/>
      <c r="E73" s="202"/>
      <c r="F73" s="241">
        <f t="shared" si="9"/>
        <v>1900</v>
      </c>
    </row>
    <row r="74" spans="1:8" s="10" customFormat="1" ht="14.45" customHeight="1" x14ac:dyDescent="0.25">
      <c r="A74" s="214">
        <f t="shared" si="0"/>
        <v>65</v>
      </c>
      <c r="B74" s="60" t="s">
        <v>142</v>
      </c>
      <c r="C74" s="196">
        <v>810</v>
      </c>
      <c r="D74" s="196"/>
      <c r="E74" s="196"/>
      <c r="F74" s="241">
        <f t="shared" si="9"/>
        <v>810</v>
      </c>
    </row>
    <row r="75" spans="1:8" s="10" customFormat="1" ht="14.1" customHeight="1" x14ac:dyDescent="0.2">
      <c r="A75" s="214">
        <f t="shared" si="0"/>
        <v>66</v>
      </c>
      <c r="B75" s="60" t="s">
        <v>108</v>
      </c>
      <c r="C75" s="242">
        <v>5</v>
      </c>
      <c r="D75" s="196"/>
      <c r="E75" s="196"/>
      <c r="F75" s="241">
        <f t="shared" si="9"/>
        <v>5</v>
      </c>
    </row>
    <row r="76" spans="1:8" s="10" customFormat="1" ht="14.1" customHeight="1" x14ac:dyDescent="0.25">
      <c r="A76" s="214">
        <f t="shared" ref="A76:A139" si="11">+A75+1</f>
        <v>67</v>
      </c>
      <c r="B76" s="236" t="s">
        <v>53</v>
      </c>
      <c r="C76" s="196">
        <f>C69</f>
        <v>3513.3240000000001</v>
      </c>
      <c r="D76" s="196">
        <f>D69</f>
        <v>0</v>
      </c>
      <c r="E76" s="196">
        <f>E69</f>
        <v>0</v>
      </c>
      <c r="F76" s="217">
        <f t="shared" si="9"/>
        <v>3513.3240000000001</v>
      </c>
      <c r="G76" s="237"/>
    </row>
    <row r="77" spans="1:8" s="10" customFormat="1" ht="14.1" customHeight="1" x14ac:dyDescent="0.25">
      <c r="A77" s="214">
        <f t="shared" si="11"/>
        <v>68</v>
      </c>
      <c r="B77" s="591" t="s">
        <v>61</v>
      </c>
      <c r="C77" s="591"/>
      <c r="D77" s="591"/>
      <c r="E77" s="591"/>
      <c r="F77" s="591"/>
    </row>
    <row r="78" spans="1:8" s="10" customFormat="1" ht="14.1" customHeight="1" x14ac:dyDescent="0.25">
      <c r="A78" s="214">
        <f t="shared" si="11"/>
        <v>69</v>
      </c>
      <c r="B78" s="215" t="s">
        <v>60</v>
      </c>
      <c r="C78" s="217">
        <f>C82+C83+C84+C88+C89+C90+C94+C95+C81+C97+C91+C92+C79+C87+C93+C80</f>
        <v>12368.217000000001</v>
      </c>
      <c r="D78" s="217">
        <f>D82+D83+D84+D88+D89+D90+D94+D95+D81+D97+D91+D92+D79+D80</f>
        <v>3348.6</v>
      </c>
      <c r="E78" s="217">
        <f>E82+E83+E84+E88+E89+E90+E94+E95+E81+E97+E91+E92+E79+E80+E93+E96</f>
        <v>1474.848</v>
      </c>
      <c r="F78" s="217">
        <f>F82+F83+F84+F88+F89+F90+F94+F95+F81+F97+F91+F92+F79+F87+F93+F80+F96</f>
        <v>17191.665000000001</v>
      </c>
      <c r="G78" s="218"/>
    </row>
    <row r="79" spans="1:8" s="10" customFormat="1" ht="24.4" customHeight="1" x14ac:dyDescent="0.25">
      <c r="A79" s="214">
        <f t="shared" si="11"/>
        <v>70</v>
      </c>
      <c r="B79" s="225" t="s">
        <v>356</v>
      </c>
      <c r="C79" s="217">
        <v>1059.0260000000001</v>
      </c>
      <c r="D79" s="217"/>
      <c r="E79" s="217"/>
      <c r="F79" s="217">
        <f>+SUM(C79:E79)</f>
        <v>1059.0260000000001</v>
      </c>
      <c r="G79" s="218"/>
    </row>
    <row r="80" spans="1:8" s="10" customFormat="1" ht="24.4" customHeight="1" x14ac:dyDescent="0.2">
      <c r="A80" s="213">
        <v>71</v>
      </c>
      <c r="B80" s="225" t="s">
        <v>396</v>
      </c>
      <c r="C80" s="217">
        <v>290</v>
      </c>
      <c r="D80" s="217"/>
      <c r="E80" s="217"/>
      <c r="F80" s="217">
        <f>+SUM(C80:E80)</f>
        <v>290</v>
      </c>
      <c r="G80" s="218"/>
    </row>
    <row r="81" spans="1:8" s="10" customFormat="1" ht="36" customHeight="1" x14ac:dyDescent="0.25">
      <c r="A81" s="214">
        <f t="shared" ref="A81" si="12">+A80+1</f>
        <v>72</v>
      </c>
      <c r="B81" s="243" t="s">
        <v>131</v>
      </c>
      <c r="C81" s="196"/>
      <c r="D81" s="202">
        <v>2348.6</v>
      </c>
      <c r="E81" s="223"/>
      <c r="F81" s="217">
        <f>C81+D81+E81</f>
        <v>2348.6</v>
      </c>
    </row>
    <row r="82" spans="1:8" s="10" customFormat="1" ht="15.75" customHeight="1" x14ac:dyDescent="0.25">
      <c r="A82" s="214">
        <f t="shared" si="11"/>
        <v>73</v>
      </c>
      <c r="B82" s="225" t="s">
        <v>398</v>
      </c>
      <c r="C82" s="241">
        <v>306</v>
      </c>
      <c r="D82" s="223"/>
      <c r="E82" s="223"/>
      <c r="F82" s="217">
        <f t="shared" ref="F82:F94" si="13">C82+D82+E82</f>
        <v>306</v>
      </c>
    </row>
    <row r="83" spans="1:8" s="10" customFormat="1" ht="14.1" customHeight="1" x14ac:dyDescent="0.2">
      <c r="A83" s="214">
        <f t="shared" si="11"/>
        <v>74</v>
      </c>
      <c r="B83" s="225" t="s">
        <v>397</v>
      </c>
      <c r="C83" s="241">
        <v>271</v>
      </c>
      <c r="D83" s="223"/>
      <c r="E83" s="223"/>
      <c r="F83" s="217">
        <f t="shared" si="13"/>
        <v>271</v>
      </c>
      <c r="H83" s="244"/>
    </row>
    <row r="84" spans="1:8" s="10" customFormat="1" ht="14.1" customHeight="1" x14ac:dyDescent="0.25">
      <c r="A84" s="214">
        <f t="shared" si="11"/>
        <v>75</v>
      </c>
      <c r="B84" s="225" t="s">
        <v>109</v>
      </c>
      <c r="C84" s="241">
        <f>C85+C86</f>
        <v>1170</v>
      </c>
      <c r="D84" s="223"/>
      <c r="E84" s="223"/>
      <c r="F84" s="217">
        <f t="shared" si="13"/>
        <v>1170</v>
      </c>
    </row>
    <row r="85" spans="1:8" s="10" customFormat="1" ht="14.1" customHeight="1" x14ac:dyDescent="0.2">
      <c r="A85" s="214">
        <f t="shared" si="11"/>
        <v>76</v>
      </c>
      <c r="B85" s="245" t="s">
        <v>44</v>
      </c>
      <c r="C85" s="228">
        <v>570</v>
      </c>
      <c r="D85" s="229"/>
      <c r="E85" s="229"/>
      <c r="F85" s="246">
        <f t="shared" si="13"/>
        <v>570</v>
      </c>
    </row>
    <row r="86" spans="1:8" s="10" customFormat="1" ht="14.1" customHeight="1" x14ac:dyDescent="0.2">
      <c r="A86" s="214">
        <f t="shared" si="11"/>
        <v>77</v>
      </c>
      <c r="B86" s="245" t="s">
        <v>45</v>
      </c>
      <c r="C86" s="228">
        <v>600</v>
      </c>
      <c r="D86" s="229"/>
      <c r="E86" s="229"/>
      <c r="F86" s="246">
        <f t="shared" si="13"/>
        <v>600</v>
      </c>
    </row>
    <row r="87" spans="1:8" s="10" customFormat="1" ht="14.1" customHeight="1" x14ac:dyDescent="0.2">
      <c r="A87" s="214">
        <f t="shared" si="11"/>
        <v>78</v>
      </c>
      <c r="B87" s="238" t="s">
        <v>348</v>
      </c>
      <c r="C87" s="220">
        <v>900</v>
      </c>
      <c r="D87" s="223"/>
      <c r="E87" s="223"/>
      <c r="F87" s="217">
        <f t="shared" si="13"/>
        <v>900</v>
      </c>
    </row>
    <row r="88" spans="1:8" s="10" customFormat="1" ht="24" customHeight="1" x14ac:dyDescent="0.25">
      <c r="A88" s="214">
        <f t="shared" si="11"/>
        <v>79</v>
      </c>
      <c r="B88" s="60" t="s">
        <v>110</v>
      </c>
      <c r="C88" s="202">
        <v>2700</v>
      </c>
      <c r="D88" s="223"/>
      <c r="E88" s="223"/>
      <c r="F88" s="217">
        <f t="shared" si="13"/>
        <v>2700</v>
      </c>
    </row>
    <row r="89" spans="1:8" s="10" customFormat="1" ht="27" customHeight="1" x14ac:dyDescent="0.25">
      <c r="A89" s="214">
        <f t="shared" si="11"/>
        <v>80</v>
      </c>
      <c r="B89" s="60" t="s">
        <v>111</v>
      </c>
      <c r="C89" s="202">
        <v>149.291</v>
      </c>
      <c r="D89" s="223"/>
      <c r="E89" s="223"/>
      <c r="F89" s="217">
        <f t="shared" si="13"/>
        <v>149.291</v>
      </c>
      <c r="G89" s="1"/>
    </row>
    <row r="90" spans="1:8" s="10" customFormat="1" ht="18" customHeight="1" x14ac:dyDescent="0.2">
      <c r="A90" s="213">
        <v>81</v>
      </c>
      <c r="B90" s="60" t="s">
        <v>112</v>
      </c>
      <c r="C90" s="202">
        <v>90</v>
      </c>
      <c r="D90" s="223"/>
      <c r="E90" s="223"/>
      <c r="F90" s="217">
        <f t="shared" si="13"/>
        <v>90</v>
      </c>
    </row>
    <row r="91" spans="1:8" ht="16.899999999999999" customHeight="1" x14ac:dyDescent="0.25">
      <c r="A91" s="214">
        <f t="shared" ref="A91" si="14">+A90+1</f>
        <v>82</v>
      </c>
      <c r="B91" s="232" t="s">
        <v>130</v>
      </c>
      <c r="C91" s="220">
        <v>300</v>
      </c>
      <c r="D91" s="233"/>
      <c r="E91" s="233"/>
      <c r="F91" s="216">
        <f t="shared" si="13"/>
        <v>300</v>
      </c>
    </row>
    <row r="92" spans="1:8" ht="15" customHeight="1" x14ac:dyDescent="0.25">
      <c r="A92" s="214">
        <f t="shared" si="11"/>
        <v>83</v>
      </c>
      <c r="B92" s="243" t="s">
        <v>399</v>
      </c>
      <c r="C92" s="202">
        <v>700</v>
      </c>
      <c r="D92" s="223"/>
      <c r="E92" s="223"/>
      <c r="F92" s="217">
        <f>C92+D92+E92</f>
        <v>700</v>
      </c>
    </row>
    <row r="93" spans="1:8" ht="21" customHeight="1" x14ac:dyDescent="0.25">
      <c r="A93" s="214">
        <f t="shared" si="11"/>
        <v>84</v>
      </c>
      <c r="B93" s="225" t="s">
        <v>349</v>
      </c>
      <c r="C93" s="202">
        <v>100</v>
      </c>
      <c r="D93" s="223"/>
      <c r="E93" s="223"/>
      <c r="F93" s="217">
        <f>C93+D93+E93</f>
        <v>100</v>
      </c>
    </row>
    <row r="94" spans="1:8" s="10" customFormat="1" ht="14.25" customHeight="1" x14ac:dyDescent="0.25">
      <c r="A94" s="214">
        <f t="shared" si="11"/>
        <v>85</v>
      </c>
      <c r="B94" s="60" t="s">
        <v>268</v>
      </c>
      <c r="C94" s="202">
        <v>3500</v>
      </c>
      <c r="D94" s="221"/>
      <c r="E94" s="223"/>
      <c r="F94" s="217">
        <f t="shared" si="13"/>
        <v>3500</v>
      </c>
    </row>
    <row r="95" spans="1:8" s="10" customFormat="1" ht="15.75" customHeight="1" x14ac:dyDescent="0.25">
      <c r="A95" s="214">
        <f t="shared" si="11"/>
        <v>86</v>
      </c>
      <c r="B95" s="226" t="s">
        <v>113</v>
      </c>
      <c r="C95" s="202">
        <v>832.9</v>
      </c>
      <c r="D95" s="202"/>
      <c r="E95" s="202">
        <f>24+20.99</f>
        <v>44.989999999999995</v>
      </c>
      <c r="F95" s="217">
        <f>C95+D95+E95</f>
        <v>877.89</v>
      </c>
    </row>
    <row r="96" spans="1:8" s="10" customFormat="1" ht="15.75" customHeight="1" x14ac:dyDescent="0.2">
      <c r="A96" s="214">
        <f t="shared" si="11"/>
        <v>87</v>
      </c>
      <c r="B96" s="225" t="s">
        <v>189</v>
      </c>
      <c r="C96" s="242"/>
      <c r="D96" s="202"/>
      <c r="E96" s="202">
        <f>500+929.858</f>
        <v>1429.8579999999999</v>
      </c>
      <c r="F96" s="217">
        <f>C96+D96+E96</f>
        <v>1429.8579999999999</v>
      </c>
    </row>
    <row r="97" spans="1:10" s="10" customFormat="1" ht="23.25" customHeight="1" x14ac:dyDescent="0.2">
      <c r="A97" s="214">
        <f t="shared" si="11"/>
        <v>88</v>
      </c>
      <c r="B97" s="60" t="s">
        <v>347</v>
      </c>
      <c r="C97" s="242"/>
      <c r="D97" s="202">
        <v>1000</v>
      </c>
      <c r="E97" s="202"/>
      <c r="F97" s="217">
        <f>C97+D97+E97</f>
        <v>1000</v>
      </c>
      <c r="G97" s="224"/>
      <c r="H97" s="240"/>
    </row>
    <row r="98" spans="1:10" s="10" customFormat="1" ht="14.1" customHeight="1" x14ac:dyDescent="0.25">
      <c r="A98" s="214">
        <f t="shared" si="11"/>
        <v>89</v>
      </c>
      <c r="B98" s="236" t="s">
        <v>53</v>
      </c>
      <c r="C98" s="217">
        <f>C78</f>
        <v>12368.217000000001</v>
      </c>
      <c r="D98" s="217">
        <f>D78</f>
        <v>3348.6</v>
      </c>
      <c r="E98" s="217">
        <f>E78</f>
        <v>1474.848</v>
      </c>
      <c r="F98" s="217">
        <f>F78</f>
        <v>17191.665000000001</v>
      </c>
      <c r="G98" s="247"/>
    </row>
    <row r="99" spans="1:10" s="10" customFormat="1" ht="14.1" customHeight="1" x14ac:dyDescent="0.25">
      <c r="A99" s="214">
        <f t="shared" si="11"/>
        <v>90</v>
      </c>
      <c r="B99" s="591" t="s">
        <v>59</v>
      </c>
      <c r="C99" s="591"/>
      <c r="D99" s="591"/>
      <c r="E99" s="591"/>
      <c r="F99" s="591"/>
    </row>
    <row r="100" spans="1:10" s="10" customFormat="1" ht="14.1" customHeight="1" x14ac:dyDescent="0.2">
      <c r="A100" s="213">
        <v>91</v>
      </c>
      <c r="B100" s="215" t="s">
        <v>60</v>
      </c>
      <c r="C100" s="217">
        <f>C104+C102+C101+C103+C106+C105</f>
        <v>3882.752</v>
      </c>
      <c r="D100" s="217">
        <f>D104+D102+D101+D103+D106+D105+D107</f>
        <v>7244.9120000000003</v>
      </c>
      <c r="E100" s="217">
        <f>E104+E102+E101+E103+E106+E105+E107</f>
        <v>0</v>
      </c>
      <c r="F100" s="217">
        <f>F104+F102+F101+F103+F106+F105+F107</f>
        <v>11127.664000000001</v>
      </c>
      <c r="G100" s="218"/>
    </row>
    <row r="101" spans="1:10" s="10" customFormat="1" ht="17.45" customHeight="1" x14ac:dyDescent="0.25">
      <c r="A101" s="214">
        <f t="shared" ref="A101" si="15">+A100+1</f>
        <v>92</v>
      </c>
      <c r="B101" s="60" t="s">
        <v>175</v>
      </c>
      <c r="C101" s="202">
        <f>3783.9+58.852</f>
        <v>3842.752</v>
      </c>
      <c r="D101" s="202"/>
      <c r="E101" s="217"/>
      <c r="F101" s="217">
        <f>C101+D101+E101</f>
        <v>3842.752</v>
      </c>
    </row>
    <row r="102" spans="1:10" s="10" customFormat="1" ht="24" customHeight="1" x14ac:dyDescent="0.25">
      <c r="A102" s="214">
        <f t="shared" si="11"/>
        <v>93</v>
      </c>
      <c r="B102" s="60" t="s">
        <v>347</v>
      </c>
      <c r="C102" s="217"/>
      <c r="D102" s="222">
        <v>2086.665</v>
      </c>
      <c r="E102" s="217"/>
      <c r="F102" s="217">
        <f>C102+D102+E102</f>
        <v>2086.665</v>
      </c>
    </row>
    <row r="103" spans="1:10" s="10" customFormat="1" ht="18" customHeight="1" x14ac:dyDescent="0.2">
      <c r="A103" s="214">
        <f t="shared" si="11"/>
        <v>94</v>
      </c>
      <c r="B103" s="225" t="s">
        <v>143</v>
      </c>
      <c r="C103" s="220">
        <v>20</v>
      </c>
      <c r="D103" s="248"/>
      <c r="E103" s="217"/>
      <c r="F103" s="217">
        <f>C103+D103+E103</f>
        <v>20</v>
      </c>
    </row>
    <row r="104" spans="1:10" s="10" customFormat="1" ht="15.6" customHeight="1" x14ac:dyDescent="0.2">
      <c r="A104" s="214">
        <f t="shared" si="11"/>
        <v>95</v>
      </c>
      <c r="B104" s="60" t="s">
        <v>267</v>
      </c>
      <c r="C104" s="220">
        <v>20</v>
      </c>
      <c r="D104" s="202"/>
      <c r="E104" s="223"/>
      <c r="F104" s="217">
        <f>C104+D104+E104</f>
        <v>20</v>
      </c>
    </row>
    <row r="105" spans="1:10" s="10" customFormat="1" ht="24" customHeight="1" x14ac:dyDescent="0.2">
      <c r="A105" s="214">
        <f t="shared" si="11"/>
        <v>96</v>
      </c>
      <c r="B105" s="249" t="s">
        <v>345</v>
      </c>
      <c r="C105" s="217"/>
      <c r="D105" s="222">
        <v>855.31500000000005</v>
      </c>
      <c r="E105" s="217"/>
      <c r="F105" s="217">
        <f t="shared" ref="F105:F107" si="16">C105+D105+E105</f>
        <v>855.31500000000005</v>
      </c>
    </row>
    <row r="106" spans="1:10" s="10" customFormat="1" ht="27" customHeight="1" x14ac:dyDescent="0.25">
      <c r="A106" s="214">
        <f t="shared" si="11"/>
        <v>97</v>
      </c>
      <c r="B106" s="60" t="s">
        <v>269</v>
      </c>
      <c r="C106" s="202"/>
      <c r="D106" s="250">
        <v>2656.3580000000002</v>
      </c>
      <c r="E106" s="217"/>
      <c r="F106" s="217">
        <f t="shared" si="16"/>
        <v>2656.3580000000002</v>
      </c>
    </row>
    <row r="107" spans="1:10" s="10" customFormat="1" ht="24" customHeight="1" x14ac:dyDescent="0.25">
      <c r="A107" s="214">
        <f t="shared" si="11"/>
        <v>98</v>
      </c>
      <c r="B107" s="60" t="s">
        <v>461</v>
      </c>
      <c r="C107" s="251"/>
      <c r="D107" s="222">
        <v>1646.5740000000001</v>
      </c>
      <c r="E107" s="252"/>
      <c r="F107" s="217">
        <f t="shared" si="16"/>
        <v>1646.5740000000001</v>
      </c>
      <c r="J107" s="218"/>
    </row>
    <row r="108" spans="1:10" s="10" customFormat="1" ht="14.1" customHeight="1" x14ac:dyDescent="0.25">
      <c r="A108" s="214">
        <f t="shared" si="11"/>
        <v>99</v>
      </c>
      <c r="B108" s="236" t="s">
        <v>53</v>
      </c>
      <c r="C108" s="217">
        <f>C100</f>
        <v>3882.752</v>
      </c>
      <c r="D108" s="217">
        <f>D100</f>
        <v>7244.9120000000003</v>
      </c>
      <c r="E108" s="217">
        <f>E100</f>
        <v>0</v>
      </c>
      <c r="F108" s="217">
        <f>F100</f>
        <v>11127.664000000001</v>
      </c>
      <c r="G108" s="237"/>
    </row>
    <row r="109" spans="1:10" s="10" customFormat="1" ht="14.1" customHeight="1" x14ac:dyDescent="0.25">
      <c r="A109" s="214">
        <f t="shared" si="11"/>
        <v>100</v>
      </c>
      <c r="B109" s="592" t="s">
        <v>238</v>
      </c>
      <c r="C109" s="592"/>
      <c r="D109" s="592"/>
      <c r="E109" s="592"/>
      <c r="F109" s="592"/>
    </row>
    <row r="110" spans="1:10" s="10" customFormat="1" ht="14.1" customHeight="1" x14ac:dyDescent="0.2">
      <c r="A110" s="213">
        <v>101</v>
      </c>
      <c r="B110" s="215" t="s">
        <v>60</v>
      </c>
      <c r="C110" s="217">
        <f>C111+C115+C116+C117+C118+C119+C120+C121+C112+C113++C122+C114</f>
        <v>2250.1000000000004</v>
      </c>
      <c r="D110" s="217">
        <f>D111+D115+D116+D117+D118+D119+D120+D121+D112++D122</f>
        <v>0</v>
      </c>
      <c r="E110" s="217">
        <f>E111+E115+E116+E117+E118+E119+E120+E121+E112+E113+E122</f>
        <v>0</v>
      </c>
      <c r="F110" s="217">
        <f>F111+F115+F116+F117+F118+F119+F120+F121+F112+F113+F114+F122</f>
        <v>2250.1000000000004</v>
      </c>
    </row>
    <row r="111" spans="1:10" s="10" customFormat="1" ht="14.1" customHeight="1" x14ac:dyDescent="0.2">
      <c r="A111" s="214">
        <f t="shared" ref="A111" si="17">+A110+1</f>
        <v>102</v>
      </c>
      <c r="B111" s="219" t="s">
        <v>114</v>
      </c>
      <c r="C111" s="220">
        <v>260</v>
      </c>
      <c r="D111" s="253"/>
      <c r="E111" s="253"/>
      <c r="F111" s="217">
        <f t="shared" ref="F111:F128" si="18">C111+D111+E111</f>
        <v>260</v>
      </c>
    </row>
    <row r="112" spans="1:10" s="10" customFormat="1" ht="14.1" customHeight="1" x14ac:dyDescent="0.2">
      <c r="A112" s="214">
        <f t="shared" si="11"/>
        <v>103</v>
      </c>
      <c r="B112" s="238" t="s">
        <v>273</v>
      </c>
      <c r="C112" s="220">
        <v>200</v>
      </c>
      <c r="D112" s="253"/>
      <c r="E112" s="253"/>
      <c r="F112" s="217">
        <f t="shared" si="18"/>
        <v>200</v>
      </c>
    </row>
    <row r="113" spans="1:7" s="10" customFormat="1" ht="14.1" customHeight="1" x14ac:dyDescent="0.2">
      <c r="A113" s="214">
        <f t="shared" si="11"/>
        <v>104</v>
      </c>
      <c r="B113" s="238" t="s">
        <v>400</v>
      </c>
      <c r="C113" s="220">
        <v>50</v>
      </c>
      <c r="D113" s="253"/>
      <c r="E113" s="253"/>
      <c r="F113" s="217">
        <f t="shared" si="18"/>
        <v>50</v>
      </c>
    </row>
    <row r="114" spans="1:7" s="10" customFormat="1" ht="14.1" customHeight="1" x14ac:dyDescent="0.2">
      <c r="A114" s="214">
        <f t="shared" si="11"/>
        <v>105</v>
      </c>
      <c r="B114" s="238" t="s">
        <v>401</v>
      </c>
      <c r="C114" s="220">
        <v>25</v>
      </c>
      <c r="D114" s="253"/>
      <c r="E114" s="253"/>
      <c r="F114" s="217">
        <f t="shared" si="18"/>
        <v>25</v>
      </c>
    </row>
    <row r="115" spans="1:7" s="10" customFormat="1" x14ac:dyDescent="0.25">
      <c r="A115" s="214">
        <f t="shared" si="11"/>
        <v>106</v>
      </c>
      <c r="B115" s="225" t="s">
        <v>330</v>
      </c>
      <c r="C115" s="254">
        <v>288.39999999999998</v>
      </c>
      <c r="D115" s="253"/>
      <c r="E115" s="202"/>
      <c r="F115" s="217">
        <f t="shared" si="18"/>
        <v>288.39999999999998</v>
      </c>
    </row>
    <row r="116" spans="1:7" s="10" customFormat="1" x14ac:dyDescent="0.25">
      <c r="A116" s="214">
        <f t="shared" si="11"/>
        <v>107</v>
      </c>
      <c r="B116" s="60" t="s">
        <v>331</v>
      </c>
      <c r="C116" s="254">
        <f>928.4+9.6</f>
        <v>938</v>
      </c>
      <c r="D116" s="255"/>
      <c r="E116" s="202"/>
      <c r="F116" s="217">
        <f t="shared" si="18"/>
        <v>938</v>
      </c>
    </row>
    <row r="117" spans="1:7" s="10" customFormat="1" x14ac:dyDescent="0.25">
      <c r="A117" s="214">
        <f t="shared" si="11"/>
        <v>108</v>
      </c>
      <c r="B117" s="60" t="s">
        <v>332</v>
      </c>
      <c r="C117" s="254">
        <f>300.3+3.4</f>
        <v>303.7</v>
      </c>
      <c r="D117" s="255"/>
      <c r="E117" s="253"/>
      <c r="F117" s="217">
        <f t="shared" si="18"/>
        <v>303.7</v>
      </c>
    </row>
    <row r="118" spans="1:7" s="10" customFormat="1" ht="14.1" customHeight="1" x14ac:dyDescent="0.2">
      <c r="A118" s="214">
        <f t="shared" si="11"/>
        <v>109</v>
      </c>
      <c r="B118" s="60" t="s">
        <v>115</v>
      </c>
      <c r="C118" s="220">
        <v>55</v>
      </c>
      <c r="D118" s="253"/>
      <c r="E118" s="253"/>
      <c r="F118" s="217">
        <f t="shared" si="18"/>
        <v>55</v>
      </c>
    </row>
    <row r="119" spans="1:7" s="10" customFormat="1" ht="14.1" customHeight="1" x14ac:dyDescent="0.2">
      <c r="A119" s="214">
        <f t="shared" si="11"/>
        <v>110</v>
      </c>
      <c r="B119" s="219" t="s">
        <v>135</v>
      </c>
      <c r="C119" s="220">
        <v>65</v>
      </c>
      <c r="D119" s="253"/>
      <c r="E119" s="253"/>
      <c r="F119" s="217">
        <f t="shared" si="18"/>
        <v>65</v>
      </c>
    </row>
    <row r="120" spans="1:7" s="10" customFormat="1" ht="14.1" customHeight="1" x14ac:dyDescent="0.2">
      <c r="A120" s="213">
        <v>111</v>
      </c>
      <c r="B120" s="60" t="s">
        <v>116</v>
      </c>
      <c r="C120" s="220">
        <v>30</v>
      </c>
      <c r="D120" s="253"/>
      <c r="E120" s="253"/>
      <c r="F120" s="217">
        <f t="shared" si="18"/>
        <v>30</v>
      </c>
    </row>
    <row r="121" spans="1:7" s="10" customFormat="1" ht="14.1" customHeight="1" x14ac:dyDescent="0.2">
      <c r="A121" s="214">
        <f t="shared" ref="A121" si="19">+A120+1</f>
        <v>112</v>
      </c>
      <c r="B121" s="225" t="s">
        <v>117</v>
      </c>
      <c r="C121" s="220">
        <v>25</v>
      </c>
      <c r="D121" s="253"/>
      <c r="E121" s="253"/>
      <c r="F121" s="217">
        <f t="shared" si="18"/>
        <v>25</v>
      </c>
    </row>
    <row r="122" spans="1:7" s="10" customFormat="1" ht="14.1" customHeight="1" x14ac:dyDescent="0.2">
      <c r="A122" s="214">
        <f t="shared" si="11"/>
        <v>113</v>
      </c>
      <c r="B122" s="256" t="s">
        <v>402</v>
      </c>
      <c r="C122" s="220">
        <v>10</v>
      </c>
      <c r="D122" s="253"/>
      <c r="E122" s="253"/>
      <c r="F122" s="217">
        <f t="shared" si="18"/>
        <v>10</v>
      </c>
    </row>
    <row r="123" spans="1:7" s="10" customFormat="1" ht="14.1" customHeight="1" x14ac:dyDescent="0.25">
      <c r="A123" s="214">
        <f t="shared" si="11"/>
        <v>114</v>
      </c>
      <c r="B123" s="239" t="s">
        <v>86</v>
      </c>
      <c r="C123" s="257">
        <f>300.9+2.8</f>
        <v>303.7</v>
      </c>
      <c r="D123" s="202"/>
      <c r="E123" s="202">
        <v>3</v>
      </c>
      <c r="F123" s="217">
        <f>C123+D123+E123</f>
        <v>306.7</v>
      </c>
    </row>
    <row r="124" spans="1:7" s="10" customFormat="1" ht="14.1" customHeight="1" x14ac:dyDescent="0.25">
      <c r="A124" s="214">
        <f t="shared" si="11"/>
        <v>115</v>
      </c>
      <c r="B124" s="239" t="s">
        <v>235</v>
      </c>
      <c r="C124" s="257">
        <f>179.3+1.7</f>
        <v>181</v>
      </c>
      <c r="D124" s="253"/>
      <c r="E124" s="202">
        <f>0.2+0.2+0.4</f>
        <v>0.8</v>
      </c>
      <c r="F124" s="217">
        <f>C124+D124+E124</f>
        <v>181.8</v>
      </c>
    </row>
    <row r="125" spans="1:7" s="10" customFormat="1" ht="14.1" customHeight="1" x14ac:dyDescent="0.25">
      <c r="A125" s="214">
        <f t="shared" si="11"/>
        <v>116</v>
      </c>
      <c r="B125" s="239" t="s">
        <v>69</v>
      </c>
      <c r="C125" s="257">
        <f>362.4+4.5</f>
        <v>366.9</v>
      </c>
      <c r="D125" s="253"/>
      <c r="E125" s="202"/>
      <c r="F125" s="217">
        <f t="shared" si="18"/>
        <v>366.9</v>
      </c>
    </row>
    <row r="126" spans="1:7" s="10" customFormat="1" ht="14.1" customHeight="1" x14ac:dyDescent="0.25">
      <c r="A126" s="214">
        <f t="shared" si="11"/>
        <v>117</v>
      </c>
      <c r="B126" s="239" t="s">
        <v>118</v>
      </c>
      <c r="C126" s="257">
        <v>381.1</v>
      </c>
      <c r="D126" s="253"/>
      <c r="E126" s="202"/>
      <c r="F126" s="217">
        <f t="shared" si="18"/>
        <v>381.1</v>
      </c>
    </row>
    <row r="127" spans="1:7" s="10" customFormat="1" ht="14.1" customHeight="1" x14ac:dyDescent="0.25">
      <c r="A127" s="214">
        <f t="shared" si="11"/>
        <v>118</v>
      </c>
      <c r="B127" s="234" t="s">
        <v>119</v>
      </c>
      <c r="C127" s="257">
        <f>1284.6+22</f>
        <v>1306.5999999999999</v>
      </c>
      <c r="D127" s="202">
        <v>42.567999999999998</v>
      </c>
      <c r="E127" s="202">
        <v>4.5</v>
      </c>
      <c r="F127" s="217">
        <f t="shared" si="18"/>
        <v>1353.6679999999999</v>
      </c>
    </row>
    <row r="128" spans="1:7" s="10" customFormat="1" ht="14.1" customHeight="1" x14ac:dyDescent="0.25">
      <c r="A128" s="214">
        <f t="shared" si="11"/>
        <v>119</v>
      </c>
      <c r="B128" s="236" t="s">
        <v>53</v>
      </c>
      <c r="C128" s="217">
        <f>C110+C126+C127+C124+C125+C123</f>
        <v>4789.3999999999996</v>
      </c>
      <c r="D128" s="217">
        <f>D110+D126+D127+D124+D125+D123</f>
        <v>42.567999999999998</v>
      </c>
      <c r="E128" s="217">
        <f>E110+E126+E127+E124+E125+E123</f>
        <v>8.3000000000000007</v>
      </c>
      <c r="F128" s="217">
        <f t="shared" si="18"/>
        <v>4840.268</v>
      </c>
      <c r="G128" s="237"/>
    </row>
    <row r="129" spans="1:13" s="10" customFormat="1" ht="14.1" customHeight="1" x14ac:dyDescent="0.25">
      <c r="A129" s="214">
        <f t="shared" si="11"/>
        <v>120</v>
      </c>
      <c r="B129" s="591" t="s">
        <v>237</v>
      </c>
      <c r="C129" s="591"/>
      <c r="D129" s="591"/>
      <c r="E129" s="591"/>
      <c r="F129" s="591"/>
    </row>
    <row r="130" spans="1:13" s="10" customFormat="1" ht="16.149999999999999" customHeight="1" x14ac:dyDescent="0.25">
      <c r="A130" s="213">
        <v>121</v>
      </c>
      <c r="B130" s="60" t="s">
        <v>70</v>
      </c>
      <c r="C130" s="257">
        <v>457.2</v>
      </c>
      <c r="D130" s="222">
        <f>491.818+4.766</f>
        <v>496.584</v>
      </c>
      <c r="E130" s="37">
        <v>28</v>
      </c>
      <c r="F130" s="202">
        <f>C130+D130+E130</f>
        <v>981.78399999999999</v>
      </c>
      <c r="G130" s="235"/>
      <c r="I130"/>
      <c r="J130"/>
      <c r="K130"/>
      <c r="L130"/>
      <c r="M130"/>
    </row>
    <row r="131" spans="1:13" s="10" customFormat="1" ht="14.1" customHeight="1" x14ac:dyDescent="0.25">
      <c r="A131" s="214">
        <f t="shared" ref="A131" si="20">+A130+1</f>
        <v>122</v>
      </c>
      <c r="B131" s="60" t="s">
        <v>71</v>
      </c>
      <c r="C131" s="257">
        <v>146.65</v>
      </c>
      <c r="D131" s="222">
        <v>181.58600000000001</v>
      </c>
      <c r="E131" s="37">
        <v>24</v>
      </c>
      <c r="F131" s="202">
        <f>C131+D131+E131</f>
        <v>352.23599999999999</v>
      </c>
      <c r="G131" s="235"/>
      <c r="I131" s="258"/>
      <c r="J131"/>
      <c r="K131"/>
      <c r="L131"/>
      <c r="M131"/>
    </row>
    <row r="132" spans="1:13" s="10" customFormat="1" ht="14.1" customHeight="1" x14ac:dyDescent="0.25">
      <c r="A132" s="214">
        <f t="shared" si="11"/>
        <v>123</v>
      </c>
      <c r="B132" s="60" t="s">
        <v>72</v>
      </c>
      <c r="C132" s="257">
        <v>860</v>
      </c>
      <c r="D132" s="222">
        <f>747.986+4.766</f>
        <v>752.75199999999995</v>
      </c>
      <c r="E132" s="37">
        <v>140</v>
      </c>
      <c r="F132" s="202">
        <f t="shared" ref="F132:F155" si="21">C132+D132+E132</f>
        <v>1752.752</v>
      </c>
      <c r="G132" s="235"/>
      <c r="I132"/>
      <c r="J132"/>
      <c r="K132"/>
      <c r="L132"/>
      <c r="M132"/>
    </row>
    <row r="133" spans="1:13" s="10" customFormat="1" ht="14.1" customHeight="1" x14ac:dyDescent="0.25">
      <c r="A133" s="214">
        <f t="shared" si="11"/>
        <v>124</v>
      </c>
      <c r="B133" s="60" t="s">
        <v>73</v>
      </c>
      <c r="C133" s="257">
        <v>572.9</v>
      </c>
      <c r="D133" s="222">
        <v>568.23599999999999</v>
      </c>
      <c r="E133" s="37">
        <v>82</v>
      </c>
      <c r="F133" s="202">
        <f t="shared" si="21"/>
        <v>1223.136</v>
      </c>
      <c r="G133" s="235"/>
      <c r="I133"/>
      <c r="J133"/>
      <c r="K133"/>
      <c r="L133"/>
      <c r="M133"/>
    </row>
    <row r="134" spans="1:13" s="10" customFormat="1" ht="14.1" customHeight="1" x14ac:dyDescent="0.25">
      <c r="A134" s="214">
        <f t="shared" si="11"/>
        <v>125</v>
      </c>
      <c r="B134" s="60" t="s">
        <v>74</v>
      </c>
      <c r="C134" s="257">
        <v>217.3</v>
      </c>
      <c r="D134" s="222">
        <v>137.352</v>
      </c>
      <c r="E134" s="37">
        <v>19</v>
      </c>
      <c r="F134" s="202">
        <f t="shared" si="21"/>
        <v>373.65200000000004</v>
      </c>
      <c r="G134" s="235"/>
      <c r="I134"/>
      <c r="J134"/>
      <c r="K134"/>
      <c r="L134"/>
      <c r="M134"/>
    </row>
    <row r="135" spans="1:13" s="10" customFormat="1" ht="14.1" customHeight="1" x14ac:dyDescent="0.25">
      <c r="A135" s="214">
        <f t="shared" si="11"/>
        <v>126</v>
      </c>
      <c r="B135" s="60" t="s">
        <v>75</v>
      </c>
      <c r="C135" s="257">
        <v>682.5</v>
      </c>
      <c r="D135" s="222">
        <v>354.66699999999997</v>
      </c>
      <c r="E135" s="37">
        <v>37</v>
      </c>
      <c r="F135" s="202">
        <f t="shared" si="21"/>
        <v>1074.1669999999999</v>
      </c>
      <c r="G135" s="235"/>
      <c r="H135" s="259"/>
      <c r="I135" s="260"/>
      <c r="J135"/>
      <c r="K135"/>
      <c r="L135"/>
      <c r="M135"/>
    </row>
    <row r="136" spans="1:13" s="10" customFormat="1" ht="14.1" customHeight="1" x14ac:dyDescent="0.25">
      <c r="A136" s="214">
        <f t="shared" si="11"/>
        <v>127</v>
      </c>
      <c r="B136" s="60" t="s">
        <v>76</v>
      </c>
      <c r="C136" s="257">
        <v>250</v>
      </c>
      <c r="D136" s="222">
        <v>210.81200000000001</v>
      </c>
      <c r="E136" s="37">
        <v>29</v>
      </c>
      <c r="F136" s="202">
        <f t="shared" si="21"/>
        <v>489.81200000000001</v>
      </c>
      <c r="G136" s="235"/>
      <c r="I136"/>
      <c r="J136"/>
      <c r="K136"/>
      <c r="L136"/>
      <c r="M136"/>
    </row>
    <row r="137" spans="1:13" s="10" customFormat="1" ht="14.1" customHeight="1" x14ac:dyDescent="0.25">
      <c r="A137" s="214">
        <f t="shared" si="11"/>
        <v>128</v>
      </c>
      <c r="B137" s="60" t="s">
        <v>120</v>
      </c>
      <c r="C137" s="257">
        <v>482.2</v>
      </c>
      <c r="D137" s="222">
        <v>416.47500000000002</v>
      </c>
      <c r="E137" s="37">
        <v>52</v>
      </c>
      <c r="F137" s="202">
        <f t="shared" si="21"/>
        <v>950.67499999999995</v>
      </c>
      <c r="G137" s="235"/>
      <c r="I137"/>
      <c r="J137"/>
      <c r="K137"/>
      <c r="L137"/>
      <c r="M137"/>
    </row>
    <row r="138" spans="1:13" s="10" customFormat="1" ht="14.1" customHeight="1" x14ac:dyDescent="0.25">
      <c r="A138" s="214">
        <f t="shared" si="11"/>
        <v>129</v>
      </c>
      <c r="B138" s="60" t="s">
        <v>77</v>
      </c>
      <c r="C138" s="257">
        <v>690.4</v>
      </c>
      <c r="D138" s="222">
        <v>719.82600000000002</v>
      </c>
      <c r="E138" s="37">
        <v>105</v>
      </c>
      <c r="F138" s="202">
        <f t="shared" si="21"/>
        <v>1515.2260000000001</v>
      </c>
      <c r="G138" s="235"/>
      <c r="I138"/>
      <c r="J138"/>
      <c r="K138"/>
      <c r="L138"/>
      <c r="M138"/>
    </row>
    <row r="139" spans="1:13" s="10" customFormat="1" ht="14.1" customHeight="1" x14ac:dyDescent="0.25">
      <c r="A139" s="214">
        <f t="shared" si="11"/>
        <v>130</v>
      </c>
      <c r="B139" s="60" t="s">
        <v>62</v>
      </c>
      <c r="C139" s="257">
        <v>433.2</v>
      </c>
      <c r="D139" s="222">
        <f>760.318+143</f>
        <v>903.31799999999998</v>
      </c>
      <c r="E139" s="37">
        <v>15</v>
      </c>
      <c r="F139" s="202">
        <f t="shared" si="21"/>
        <v>1351.518</v>
      </c>
      <c r="G139" s="235"/>
      <c r="I139"/>
      <c r="J139"/>
      <c r="K139"/>
      <c r="L139"/>
      <c r="M139"/>
    </row>
    <row r="140" spans="1:13" s="10" customFormat="1" ht="14.1" customHeight="1" x14ac:dyDescent="0.25">
      <c r="A140" s="213">
        <v>131</v>
      </c>
      <c r="B140" s="60" t="s">
        <v>78</v>
      </c>
      <c r="C140" s="257">
        <v>465.3</v>
      </c>
      <c r="D140" s="222">
        <v>1398.0920000000001</v>
      </c>
      <c r="E140" s="37">
        <v>17</v>
      </c>
      <c r="F140" s="202">
        <f t="shared" si="21"/>
        <v>1880.3920000000001</v>
      </c>
      <c r="G140" s="235"/>
      <c r="I140"/>
      <c r="J140"/>
      <c r="K140"/>
      <c r="L140"/>
      <c r="M140"/>
    </row>
    <row r="141" spans="1:13" s="10" customFormat="1" ht="14.1" customHeight="1" x14ac:dyDescent="0.25">
      <c r="A141" s="214">
        <f t="shared" ref="A141:A169" si="22">+A140+1</f>
        <v>132</v>
      </c>
      <c r="B141" s="60" t="s">
        <v>79</v>
      </c>
      <c r="C141" s="257">
        <v>482.9</v>
      </c>
      <c r="D141" s="222">
        <v>1261.0540000000001</v>
      </c>
      <c r="E141" s="37">
        <v>42</v>
      </c>
      <c r="F141" s="202">
        <f t="shared" si="21"/>
        <v>1785.9540000000002</v>
      </c>
      <c r="G141" s="235"/>
      <c r="I141"/>
      <c r="J141"/>
      <c r="K141"/>
      <c r="L141"/>
      <c r="M141"/>
    </row>
    <row r="142" spans="1:13" s="10" customFormat="1" ht="14.1" customHeight="1" x14ac:dyDescent="0.25">
      <c r="A142" s="214">
        <f t="shared" si="22"/>
        <v>133</v>
      </c>
      <c r="B142" s="60" t="s">
        <v>80</v>
      </c>
      <c r="C142" s="257">
        <v>423.5</v>
      </c>
      <c r="D142" s="222">
        <v>1456.1279999999999</v>
      </c>
      <c r="E142" s="37">
        <v>13.9</v>
      </c>
      <c r="F142" s="202">
        <f t="shared" si="21"/>
        <v>1893.528</v>
      </c>
      <c r="G142" s="235"/>
      <c r="I142"/>
      <c r="J142"/>
      <c r="K142"/>
      <c r="L142"/>
      <c r="M142"/>
    </row>
    <row r="143" spans="1:13" s="10" customFormat="1" ht="14.1" customHeight="1" x14ac:dyDescent="0.25">
      <c r="A143" s="214">
        <f t="shared" si="22"/>
        <v>134</v>
      </c>
      <c r="B143" s="60" t="s">
        <v>65</v>
      </c>
      <c r="C143" s="257">
        <v>683.8</v>
      </c>
      <c r="D143" s="222">
        <v>2873.145</v>
      </c>
      <c r="E143" s="37">
        <f>46+27</f>
        <v>73</v>
      </c>
      <c r="F143" s="202">
        <f t="shared" si="21"/>
        <v>3629.9449999999997</v>
      </c>
      <c r="G143" s="235"/>
      <c r="I143"/>
      <c r="J143"/>
      <c r="K143"/>
      <c r="L143"/>
      <c r="M143"/>
    </row>
    <row r="144" spans="1:13" s="10" customFormat="1" ht="14.1" customHeight="1" x14ac:dyDescent="0.25">
      <c r="A144" s="214">
        <f t="shared" si="22"/>
        <v>135</v>
      </c>
      <c r="B144" s="75" t="s">
        <v>282</v>
      </c>
      <c r="C144" s="257">
        <v>539</v>
      </c>
      <c r="D144" s="222">
        <v>676.13800000000003</v>
      </c>
      <c r="E144" s="37">
        <v>15</v>
      </c>
      <c r="F144" s="202">
        <f>C144+D144+E144</f>
        <v>1230.1379999999999</v>
      </c>
      <c r="G144" s="235"/>
      <c r="I144"/>
      <c r="J144"/>
      <c r="K144"/>
      <c r="L144"/>
      <c r="M144"/>
    </row>
    <row r="145" spans="1:13" s="10" customFormat="1" ht="14.1" customHeight="1" x14ac:dyDescent="0.25">
      <c r="A145" s="214">
        <f t="shared" si="22"/>
        <v>136</v>
      </c>
      <c r="B145" s="60" t="s">
        <v>81</v>
      </c>
      <c r="C145" s="257">
        <v>194.1</v>
      </c>
      <c r="D145" s="222">
        <v>985.05399999999997</v>
      </c>
      <c r="E145" s="37">
        <v>5.0549999999999997</v>
      </c>
      <c r="F145" s="202">
        <f t="shared" si="21"/>
        <v>1184.2090000000001</v>
      </c>
      <c r="G145" s="235"/>
      <c r="I145"/>
      <c r="J145"/>
      <c r="K145"/>
      <c r="L145"/>
      <c r="M145"/>
    </row>
    <row r="146" spans="1:13" s="10" customFormat="1" ht="14.1" customHeight="1" x14ac:dyDescent="0.25">
      <c r="A146" s="214">
        <f t="shared" si="22"/>
        <v>137</v>
      </c>
      <c r="B146" s="219" t="s">
        <v>82</v>
      </c>
      <c r="C146" s="257">
        <v>379.9</v>
      </c>
      <c r="D146" s="222">
        <v>701.73099999999999</v>
      </c>
      <c r="E146" s="37">
        <v>18</v>
      </c>
      <c r="F146" s="202">
        <f t="shared" si="21"/>
        <v>1099.6309999999999</v>
      </c>
      <c r="G146" s="235"/>
      <c r="I146"/>
      <c r="J146"/>
      <c r="K146"/>
      <c r="L146"/>
      <c r="M146"/>
    </row>
    <row r="147" spans="1:13" s="10" customFormat="1" ht="14.1" customHeight="1" x14ac:dyDescent="0.25">
      <c r="A147" s="214">
        <f t="shared" si="22"/>
        <v>138</v>
      </c>
      <c r="B147" s="60" t="s">
        <v>83</v>
      </c>
      <c r="C147" s="257">
        <v>547.5</v>
      </c>
      <c r="D147" s="222">
        <v>1527.251</v>
      </c>
      <c r="E147" s="37">
        <v>12.7</v>
      </c>
      <c r="F147" s="202">
        <f t="shared" si="21"/>
        <v>2087.451</v>
      </c>
      <c r="G147" s="235"/>
      <c r="I147"/>
      <c r="J147"/>
      <c r="K147"/>
      <c r="L147"/>
      <c r="M147"/>
    </row>
    <row r="148" spans="1:13" s="10" customFormat="1" ht="14.1" customHeight="1" x14ac:dyDescent="0.25">
      <c r="A148" s="214">
        <f t="shared" si="22"/>
        <v>139</v>
      </c>
      <c r="B148" s="60" t="s">
        <v>281</v>
      </c>
      <c r="C148" s="257">
        <v>438.9</v>
      </c>
      <c r="D148" s="222">
        <v>1188.125</v>
      </c>
      <c r="E148" s="37">
        <v>90</v>
      </c>
      <c r="F148" s="202">
        <f t="shared" si="21"/>
        <v>1717.0250000000001</v>
      </c>
      <c r="G148" s="235"/>
      <c r="I148"/>
      <c r="J148"/>
      <c r="K148"/>
      <c r="L148"/>
      <c r="M148"/>
    </row>
    <row r="149" spans="1:13" s="10" customFormat="1" ht="14.1" customHeight="1" x14ac:dyDescent="0.25">
      <c r="A149" s="214">
        <f t="shared" si="22"/>
        <v>140</v>
      </c>
      <c r="B149" s="219" t="s">
        <v>84</v>
      </c>
      <c r="C149" s="257">
        <v>772.1</v>
      </c>
      <c r="D149" s="222">
        <v>1728.3810000000001</v>
      </c>
      <c r="E149" s="37">
        <v>35</v>
      </c>
      <c r="F149" s="202">
        <f t="shared" si="21"/>
        <v>2535.4810000000002</v>
      </c>
      <c r="G149" s="235"/>
      <c r="I149"/>
      <c r="J149"/>
      <c r="K149"/>
      <c r="L149"/>
      <c r="M149"/>
    </row>
    <row r="150" spans="1:13" s="10" customFormat="1" ht="14.1" customHeight="1" x14ac:dyDescent="0.25">
      <c r="A150" s="213">
        <v>141</v>
      </c>
      <c r="B150" s="60" t="s">
        <v>64</v>
      </c>
      <c r="C150" s="257">
        <v>555.5</v>
      </c>
      <c r="D150" s="222">
        <v>3212.913</v>
      </c>
      <c r="E150" s="37">
        <v>37.6</v>
      </c>
      <c r="F150" s="202">
        <f t="shared" si="21"/>
        <v>3806.0129999999999</v>
      </c>
      <c r="G150" s="235"/>
      <c r="I150"/>
      <c r="J150"/>
      <c r="K150"/>
      <c r="L150"/>
      <c r="M150"/>
    </row>
    <row r="151" spans="1:13" s="10" customFormat="1" ht="14.1" customHeight="1" x14ac:dyDescent="0.25">
      <c r="A151" s="214">
        <f t="shared" ref="A151" si="23">+A150+1</f>
        <v>142</v>
      </c>
      <c r="B151" s="219" t="s">
        <v>85</v>
      </c>
      <c r="C151" s="257">
        <v>462.5</v>
      </c>
      <c r="D151" s="222">
        <v>1403.9090000000001</v>
      </c>
      <c r="E151" s="37">
        <v>88.5</v>
      </c>
      <c r="F151" s="202">
        <f t="shared" si="21"/>
        <v>1954.9090000000001</v>
      </c>
      <c r="G151" s="235"/>
      <c r="H151" s="235"/>
      <c r="I151"/>
      <c r="J151"/>
      <c r="K151"/>
      <c r="L151"/>
      <c r="M151"/>
    </row>
    <row r="152" spans="1:13" s="10" customFormat="1" ht="14.1" customHeight="1" x14ac:dyDescent="0.25">
      <c r="A152" s="214">
        <f t="shared" si="22"/>
        <v>143</v>
      </c>
      <c r="B152" s="225" t="s">
        <v>63</v>
      </c>
      <c r="C152" s="257">
        <v>72.7</v>
      </c>
      <c r="D152" s="222">
        <f>1349.148+40</f>
        <v>1389.1479999999999</v>
      </c>
      <c r="E152" s="37">
        <v>3</v>
      </c>
      <c r="F152" s="202">
        <f t="shared" si="21"/>
        <v>1464.848</v>
      </c>
      <c r="G152" s="235"/>
      <c r="I152"/>
      <c r="J152"/>
      <c r="K152"/>
      <c r="L152"/>
      <c r="M152"/>
    </row>
    <row r="153" spans="1:13" s="10" customFormat="1" ht="14.1" customHeight="1" x14ac:dyDescent="0.25">
      <c r="A153" s="214">
        <f t="shared" si="22"/>
        <v>144</v>
      </c>
      <c r="B153" s="219" t="s">
        <v>66</v>
      </c>
      <c r="C153" s="257">
        <v>427.5</v>
      </c>
      <c r="D153" s="222">
        <v>31.698</v>
      </c>
      <c r="E153" s="37">
        <v>13</v>
      </c>
      <c r="F153" s="202">
        <f t="shared" si="21"/>
        <v>472.19799999999998</v>
      </c>
      <c r="G153" s="235"/>
      <c r="I153"/>
      <c r="J153"/>
      <c r="K153"/>
      <c r="L153"/>
      <c r="M153"/>
    </row>
    <row r="154" spans="1:13" s="10" customFormat="1" ht="14.1" customHeight="1" x14ac:dyDescent="0.25">
      <c r="A154" s="214">
        <f t="shared" si="22"/>
        <v>145</v>
      </c>
      <c r="B154" s="219" t="s">
        <v>67</v>
      </c>
      <c r="C154" s="257">
        <v>945.6</v>
      </c>
      <c r="D154" s="222">
        <v>90.275999999999996</v>
      </c>
      <c r="E154" s="37">
        <v>60</v>
      </c>
      <c r="F154" s="202">
        <f t="shared" si="21"/>
        <v>1095.876</v>
      </c>
      <c r="G154" s="235"/>
      <c r="I154"/>
      <c r="J154"/>
      <c r="K154"/>
      <c r="L154"/>
      <c r="M154"/>
    </row>
    <row r="155" spans="1:13" s="10" customFormat="1" ht="16.5" customHeight="1" x14ac:dyDescent="0.25">
      <c r="A155" s="214">
        <f t="shared" si="22"/>
        <v>146</v>
      </c>
      <c r="B155" s="60" t="s">
        <v>87</v>
      </c>
      <c r="C155" s="257">
        <v>115.2</v>
      </c>
      <c r="D155" s="222">
        <v>244.78200000000001</v>
      </c>
      <c r="E155" s="70">
        <v>4.8</v>
      </c>
      <c r="F155" s="222">
        <f t="shared" si="21"/>
        <v>364.78200000000004</v>
      </c>
      <c r="G155" s="235"/>
      <c r="I155"/>
      <c r="J155"/>
      <c r="K155"/>
      <c r="L155"/>
      <c r="M155"/>
    </row>
    <row r="156" spans="1:13" s="10" customFormat="1" ht="17.45" customHeight="1" x14ac:dyDescent="0.25">
      <c r="A156" s="214">
        <f t="shared" si="22"/>
        <v>147</v>
      </c>
      <c r="B156" s="60" t="s">
        <v>283</v>
      </c>
      <c r="C156" s="257">
        <f>843.64</f>
        <v>843.64</v>
      </c>
      <c r="D156" s="261">
        <v>30</v>
      </c>
      <c r="E156" s="70">
        <v>50</v>
      </c>
      <c r="F156" s="262">
        <f>C156+D156+E156</f>
        <v>923.64</v>
      </c>
      <c r="G156" s="235"/>
    </row>
    <row r="157" spans="1:13" s="10" customFormat="1" ht="14.1" customHeight="1" x14ac:dyDescent="0.25">
      <c r="A157" s="214">
        <f t="shared" si="22"/>
        <v>148</v>
      </c>
      <c r="B157" s="215" t="s">
        <v>60</v>
      </c>
      <c r="C157" s="196">
        <f>C158+C159+C160+C163+C166+C167+C168+C165+C164</f>
        <v>2195</v>
      </c>
      <c r="D157" s="196">
        <f>D158+D159+D160+D163+D166+D167+D168+D165+D161+D164+D162</f>
        <v>1461.431</v>
      </c>
      <c r="E157" s="196">
        <f>E158+E159+E160+E163+E166+E167+E168+E165</f>
        <v>0</v>
      </c>
      <c r="F157" s="196">
        <f>F158+F159+F160+F163+F166+F167+F168+F165+F161+F164+F162</f>
        <v>3656.4310000000005</v>
      </c>
      <c r="G157" s="218"/>
    </row>
    <row r="158" spans="1:13" s="10" customFormat="1" ht="23.25" customHeight="1" x14ac:dyDescent="0.25">
      <c r="A158" s="214">
        <f t="shared" si="22"/>
        <v>149</v>
      </c>
      <c r="B158" s="60" t="s">
        <v>121</v>
      </c>
      <c r="C158" s="253"/>
      <c r="D158" s="202">
        <v>483.81599999999997</v>
      </c>
      <c r="E158" s="263"/>
      <c r="F158" s="202">
        <f t="shared" ref="F158:F167" si="24">C158+D158+E158</f>
        <v>483.81599999999997</v>
      </c>
      <c r="G158" s="218"/>
    </row>
    <row r="159" spans="1:13" s="10" customFormat="1" ht="24.75" customHeight="1" x14ac:dyDescent="0.25">
      <c r="A159" s="214">
        <f t="shared" si="22"/>
        <v>150</v>
      </c>
      <c r="B159" s="60" t="s">
        <v>122</v>
      </c>
      <c r="C159" s="253"/>
      <c r="D159" s="202">
        <v>10.773</v>
      </c>
      <c r="E159" s="263"/>
      <c r="F159" s="202">
        <f t="shared" si="24"/>
        <v>10.773</v>
      </c>
    </row>
    <row r="160" spans="1:13" s="10" customFormat="1" ht="15.75" customHeight="1" x14ac:dyDescent="0.2">
      <c r="A160" s="213">
        <v>151</v>
      </c>
      <c r="B160" s="60" t="s">
        <v>123</v>
      </c>
      <c r="C160" s="263"/>
      <c r="D160" s="264">
        <v>266.03199999999998</v>
      </c>
      <c r="E160" s="263"/>
      <c r="F160" s="202">
        <f t="shared" si="24"/>
        <v>266.03199999999998</v>
      </c>
    </row>
    <row r="161" spans="1:9" ht="16.5" customHeight="1" x14ac:dyDescent="0.25">
      <c r="A161" s="214">
        <f t="shared" ref="A161" si="25">+A160+1</f>
        <v>152</v>
      </c>
      <c r="B161" s="256" t="s">
        <v>301</v>
      </c>
      <c r="C161" s="265"/>
      <c r="D161" s="231">
        <v>84.828999999999994</v>
      </c>
      <c r="E161" s="265"/>
      <c r="F161" s="220">
        <f>+SUM(C161:E161)</f>
        <v>84.828999999999994</v>
      </c>
    </row>
    <row r="162" spans="1:9" ht="16.5" customHeight="1" x14ac:dyDescent="0.25">
      <c r="A162" s="214">
        <f t="shared" si="22"/>
        <v>153</v>
      </c>
      <c r="B162" s="266" t="s">
        <v>361</v>
      </c>
      <c r="C162" s="265"/>
      <c r="D162" s="231">
        <v>615.98099999999999</v>
      </c>
      <c r="E162" s="265"/>
      <c r="F162" s="220">
        <f>+SUM(C162:E162)</f>
        <v>615.98099999999999</v>
      </c>
    </row>
    <row r="163" spans="1:9" s="10" customFormat="1" ht="27" customHeight="1" x14ac:dyDescent="0.25">
      <c r="A163" s="214">
        <f t="shared" si="22"/>
        <v>154</v>
      </c>
      <c r="B163" s="60" t="s">
        <v>124</v>
      </c>
      <c r="C163" s="202">
        <v>155</v>
      </c>
      <c r="D163" s="253"/>
      <c r="E163" s="253"/>
      <c r="F163" s="202">
        <f>C163+D163+E163</f>
        <v>155</v>
      </c>
    </row>
    <row r="164" spans="1:9" s="10" customFormat="1" ht="18" customHeight="1" x14ac:dyDescent="0.25">
      <c r="A164" s="214">
        <f t="shared" si="22"/>
        <v>155</v>
      </c>
      <c r="B164" s="60" t="s">
        <v>341</v>
      </c>
      <c r="C164" s="202">
        <v>17</v>
      </c>
      <c r="D164" s="253"/>
      <c r="E164" s="253"/>
      <c r="F164" s="202">
        <f>C164+D164+E164</f>
        <v>17</v>
      </c>
    </row>
    <row r="165" spans="1:9" s="10" customFormat="1" ht="19.149999999999999" customHeight="1" x14ac:dyDescent="0.25">
      <c r="A165" s="214">
        <f t="shared" si="22"/>
        <v>156</v>
      </c>
      <c r="B165" s="60" t="s">
        <v>351</v>
      </c>
      <c r="C165" s="202">
        <v>113</v>
      </c>
      <c r="D165" s="253"/>
      <c r="E165" s="253"/>
      <c r="F165" s="202">
        <f>C165+D165+E165</f>
        <v>113</v>
      </c>
    </row>
    <row r="166" spans="1:9" s="10" customFormat="1" ht="15.75" customHeight="1" x14ac:dyDescent="0.25">
      <c r="A166" s="214">
        <f t="shared" si="22"/>
        <v>157</v>
      </c>
      <c r="B166" s="60" t="s">
        <v>125</v>
      </c>
      <c r="C166" s="202">
        <v>840</v>
      </c>
      <c r="D166" s="253"/>
      <c r="E166" s="253"/>
      <c r="F166" s="202">
        <f>C166+D166+E166</f>
        <v>840</v>
      </c>
    </row>
    <row r="167" spans="1:9" s="10" customFormat="1" ht="24.75" customHeight="1" x14ac:dyDescent="0.25">
      <c r="A167" s="214">
        <f t="shared" si="22"/>
        <v>158</v>
      </c>
      <c r="B167" s="60" t="s">
        <v>274</v>
      </c>
      <c r="C167" s="222">
        <v>160</v>
      </c>
      <c r="D167" s="253"/>
      <c r="E167" s="263"/>
      <c r="F167" s="202">
        <f t="shared" si="24"/>
        <v>160</v>
      </c>
    </row>
    <row r="168" spans="1:9" s="10" customFormat="1" ht="18.600000000000001" customHeight="1" x14ac:dyDescent="0.25">
      <c r="A168" s="214">
        <f t="shared" si="22"/>
        <v>159</v>
      </c>
      <c r="B168" s="60" t="s">
        <v>352</v>
      </c>
      <c r="C168" s="222">
        <v>910</v>
      </c>
      <c r="D168" s="253"/>
      <c r="E168" s="263"/>
      <c r="F168" s="202">
        <f>C168+D168+E168</f>
        <v>910</v>
      </c>
      <c r="I168" s="267"/>
    </row>
    <row r="169" spans="1:9" s="10" customFormat="1" ht="14.1" customHeight="1" x14ac:dyDescent="0.25">
      <c r="A169" s="214">
        <f t="shared" si="22"/>
        <v>160</v>
      </c>
      <c r="B169" s="236" t="s">
        <v>53</v>
      </c>
      <c r="C169" s="217">
        <f>C130+C131+C132+C133+C134+C135+C136+C137+C138+C139+C140+C141+C142+C143+C144+C145+C146+C147+C148+C149+C150+C151+C152+C153+C154+C155+C157+C156</f>
        <v>15336.99</v>
      </c>
      <c r="D169" s="217">
        <f>D130+D131+D132+D133+D134+D135+D136+D137+D138+D139+D140+D141+D142+D143+D144+D145+D146+D147+D148+D149+D150+D151+D152+D153+D154+D155+D157+D156</f>
        <v>26400.864000000005</v>
      </c>
      <c r="E169" s="217">
        <f>E130+E131+E132+E133+E134+E135+E136+E137+E138+E139+E140+E141+E142+E143+E144+E145+E146+E147+E148+E149+E150+E151+E152+E153+E154+E155+E156</f>
        <v>1109.5550000000001</v>
      </c>
      <c r="F169" s="196">
        <f>C169+D169+E169</f>
        <v>42847.409000000007</v>
      </c>
      <c r="G169" s="268"/>
    </row>
    <row r="170" spans="1:9" s="10" customFormat="1" ht="14.1" customHeight="1" x14ac:dyDescent="0.2">
      <c r="A170" s="213">
        <v>161</v>
      </c>
      <c r="B170" s="236" t="s">
        <v>4</v>
      </c>
      <c r="C170" s="217">
        <f>C47+C67+C76+C98+C108+C128+C169</f>
        <v>67873.458000000013</v>
      </c>
      <c r="D170" s="217">
        <f>D47+D67+D76+D98+D108+D128+D169</f>
        <v>43688.707000000009</v>
      </c>
      <c r="E170" s="217">
        <f>E47+E67+E76+E98+E108+E128+E169</f>
        <v>3168.1530000000002</v>
      </c>
      <c r="F170" s="196">
        <f>C170+D170+E170</f>
        <v>114730.31800000003</v>
      </c>
      <c r="G170" s="268"/>
    </row>
    <row r="171" spans="1:9" s="10" customFormat="1" x14ac:dyDescent="0.25">
      <c r="B171" s="269"/>
      <c r="C171" s="270"/>
      <c r="D171" s="271"/>
      <c r="E171" s="271"/>
      <c r="F171" s="271"/>
    </row>
    <row r="172" spans="1:9" s="10" customFormat="1" ht="18.75" customHeight="1" x14ac:dyDescent="0.25">
      <c r="C172" s="272"/>
      <c r="D172" s="273"/>
      <c r="E172" s="272"/>
      <c r="F172" s="272"/>
    </row>
    <row r="173" spans="1:9" x14ac:dyDescent="0.25">
      <c r="B173" s="274"/>
      <c r="C173" s="275"/>
      <c r="D173" s="276"/>
      <c r="E173" s="199"/>
      <c r="F173" s="276"/>
    </row>
    <row r="174" spans="1:9" x14ac:dyDescent="0.25">
      <c r="B174" s="277"/>
      <c r="C174" s="278"/>
      <c r="D174" s="31"/>
      <c r="F174" s="31"/>
    </row>
  </sheetData>
  <mergeCells count="9">
    <mergeCell ref="B10:F10"/>
    <mergeCell ref="A6:F6"/>
    <mergeCell ref="A7:C7"/>
    <mergeCell ref="B129:F129"/>
    <mergeCell ref="B48:F48"/>
    <mergeCell ref="B68:F68"/>
    <mergeCell ref="B77:F77"/>
    <mergeCell ref="B99:F99"/>
    <mergeCell ref="B109:F109"/>
  </mergeCells>
  <pageMargins left="0.51181102362204722" right="0.11811023622047245" top="0.35433070866141736" bottom="0.19685039370078741" header="0.11811023622047245" footer="0.11811023622047245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57"/>
  <sheetViews>
    <sheetView topLeftCell="A22" zoomScaleNormal="100" workbookViewId="0">
      <selection activeCell="G44" sqref="G44"/>
    </sheetView>
  </sheetViews>
  <sheetFormatPr defaultRowHeight="15" x14ac:dyDescent="0.25"/>
  <cols>
    <col min="1" max="1" width="6.85546875" style="85" customWidth="1"/>
    <col min="2" max="2" width="4" style="85" customWidth="1"/>
    <col min="3" max="3" width="43.7109375" style="85" customWidth="1"/>
    <col min="4" max="4" width="11.42578125" style="85" customWidth="1"/>
    <col min="5" max="5" width="9.140625" style="85"/>
    <col min="6" max="6" width="9.42578125" style="85" bestFit="1" customWidth="1"/>
    <col min="7" max="249" width="9.140625" style="85"/>
    <col min="250" max="250" width="2.5703125" style="85" customWidth="1"/>
    <col min="251" max="251" width="43.7109375" style="85" customWidth="1"/>
    <col min="252" max="252" width="10.140625" style="85" customWidth="1"/>
    <col min="253" max="253" width="9.85546875" style="85" customWidth="1"/>
    <col min="254" max="254" width="9.7109375" style="85" customWidth="1"/>
    <col min="255" max="255" width="9.42578125" style="85" customWidth="1"/>
    <col min="256" max="505" width="9.140625" style="85"/>
    <col min="506" max="506" width="2.5703125" style="85" customWidth="1"/>
    <col min="507" max="507" width="43.7109375" style="85" customWidth="1"/>
    <col min="508" max="508" width="10.140625" style="85" customWidth="1"/>
    <col min="509" max="509" width="9.85546875" style="85" customWidth="1"/>
    <col min="510" max="510" width="9.7109375" style="85" customWidth="1"/>
    <col min="511" max="511" width="9.42578125" style="85" customWidth="1"/>
    <col min="512" max="761" width="9.140625" style="85"/>
    <col min="762" max="762" width="2.5703125" style="85" customWidth="1"/>
    <col min="763" max="763" width="43.7109375" style="85" customWidth="1"/>
    <col min="764" max="764" width="10.140625" style="85" customWidth="1"/>
    <col min="765" max="765" width="9.85546875" style="85" customWidth="1"/>
    <col min="766" max="766" width="9.7109375" style="85" customWidth="1"/>
    <col min="767" max="767" width="9.42578125" style="85" customWidth="1"/>
    <col min="768" max="1017" width="9.140625" style="85"/>
    <col min="1018" max="1018" width="2.5703125" style="85" customWidth="1"/>
    <col min="1019" max="1019" width="43.7109375" style="85" customWidth="1"/>
    <col min="1020" max="1020" width="10.140625" style="85" customWidth="1"/>
    <col min="1021" max="1021" width="9.85546875" style="85" customWidth="1"/>
    <col min="1022" max="1022" width="9.7109375" style="85" customWidth="1"/>
    <col min="1023" max="1023" width="9.42578125" style="85" customWidth="1"/>
    <col min="1024" max="1273" width="9.140625" style="85"/>
    <col min="1274" max="1274" width="2.5703125" style="85" customWidth="1"/>
    <col min="1275" max="1275" width="43.7109375" style="85" customWidth="1"/>
    <col min="1276" max="1276" width="10.140625" style="85" customWidth="1"/>
    <col min="1277" max="1277" width="9.85546875" style="85" customWidth="1"/>
    <col min="1278" max="1278" width="9.7109375" style="85" customWidth="1"/>
    <col min="1279" max="1279" width="9.42578125" style="85" customWidth="1"/>
    <col min="1280" max="1529" width="9.140625" style="85"/>
    <col min="1530" max="1530" width="2.5703125" style="85" customWidth="1"/>
    <col min="1531" max="1531" width="43.7109375" style="85" customWidth="1"/>
    <col min="1532" max="1532" width="10.140625" style="85" customWidth="1"/>
    <col min="1533" max="1533" width="9.85546875" style="85" customWidth="1"/>
    <col min="1534" max="1534" width="9.7109375" style="85" customWidth="1"/>
    <col min="1535" max="1535" width="9.42578125" style="85" customWidth="1"/>
    <col min="1536" max="1785" width="9.140625" style="85"/>
    <col min="1786" max="1786" width="2.5703125" style="85" customWidth="1"/>
    <col min="1787" max="1787" width="43.7109375" style="85" customWidth="1"/>
    <col min="1788" max="1788" width="10.140625" style="85" customWidth="1"/>
    <col min="1789" max="1789" width="9.85546875" style="85" customWidth="1"/>
    <col min="1790" max="1790" width="9.7109375" style="85" customWidth="1"/>
    <col min="1791" max="1791" width="9.42578125" style="85" customWidth="1"/>
    <col min="1792" max="2041" width="9.140625" style="85"/>
    <col min="2042" max="2042" width="2.5703125" style="85" customWidth="1"/>
    <col min="2043" max="2043" width="43.7109375" style="85" customWidth="1"/>
    <col min="2044" max="2044" width="10.140625" style="85" customWidth="1"/>
    <col min="2045" max="2045" width="9.85546875" style="85" customWidth="1"/>
    <col min="2046" max="2046" width="9.7109375" style="85" customWidth="1"/>
    <col min="2047" max="2047" width="9.42578125" style="85" customWidth="1"/>
    <col min="2048" max="2297" width="9.140625" style="85"/>
    <col min="2298" max="2298" width="2.5703125" style="85" customWidth="1"/>
    <col min="2299" max="2299" width="43.7109375" style="85" customWidth="1"/>
    <col min="2300" max="2300" width="10.140625" style="85" customWidth="1"/>
    <col min="2301" max="2301" width="9.85546875" style="85" customWidth="1"/>
    <col min="2302" max="2302" width="9.7109375" style="85" customWidth="1"/>
    <col min="2303" max="2303" width="9.42578125" style="85" customWidth="1"/>
    <col min="2304" max="2553" width="9.140625" style="85"/>
    <col min="2554" max="2554" width="2.5703125" style="85" customWidth="1"/>
    <col min="2555" max="2555" width="43.7109375" style="85" customWidth="1"/>
    <col min="2556" max="2556" width="10.140625" style="85" customWidth="1"/>
    <col min="2557" max="2557" width="9.85546875" style="85" customWidth="1"/>
    <col min="2558" max="2558" width="9.7109375" style="85" customWidth="1"/>
    <col min="2559" max="2559" width="9.42578125" style="85" customWidth="1"/>
    <col min="2560" max="2809" width="9.140625" style="85"/>
    <col min="2810" max="2810" width="2.5703125" style="85" customWidth="1"/>
    <col min="2811" max="2811" width="43.7109375" style="85" customWidth="1"/>
    <col min="2812" max="2812" width="10.140625" style="85" customWidth="1"/>
    <col min="2813" max="2813" width="9.85546875" style="85" customWidth="1"/>
    <col min="2814" max="2814" width="9.7109375" style="85" customWidth="1"/>
    <col min="2815" max="2815" width="9.42578125" style="85" customWidth="1"/>
    <col min="2816" max="3065" width="9.140625" style="85"/>
    <col min="3066" max="3066" width="2.5703125" style="85" customWidth="1"/>
    <col min="3067" max="3067" width="43.7109375" style="85" customWidth="1"/>
    <col min="3068" max="3068" width="10.140625" style="85" customWidth="1"/>
    <col min="3069" max="3069" width="9.85546875" style="85" customWidth="1"/>
    <col min="3070" max="3070" width="9.7109375" style="85" customWidth="1"/>
    <col min="3071" max="3071" width="9.42578125" style="85" customWidth="1"/>
    <col min="3072" max="3321" width="9.140625" style="85"/>
    <col min="3322" max="3322" width="2.5703125" style="85" customWidth="1"/>
    <col min="3323" max="3323" width="43.7109375" style="85" customWidth="1"/>
    <col min="3324" max="3324" width="10.140625" style="85" customWidth="1"/>
    <col min="3325" max="3325" width="9.85546875" style="85" customWidth="1"/>
    <col min="3326" max="3326" width="9.7109375" style="85" customWidth="1"/>
    <col min="3327" max="3327" width="9.42578125" style="85" customWidth="1"/>
    <col min="3328" max="3577" width="9.140625" style="85"/>
    <col min="3578" max="3578" width="2.5703125" style="85" customWidth="1"/>
    <col min="3579" max="3579" width="43.7109375" style="85" customWidth="1"/>
    <col min="3580" max="3580" width="10.140625" style="85" customWidth="1"/>
    <col min="3581" max="3581" width="9.85546875" style="85" customWidth="1"/>
    <col min="3582" max="3582" width="9.7109375" style="85" customWidth="1"/>
    <col min="3583" max="3583" width="9.42578125" style="85" customWidth="1"/>
    <col min="3584" max="3833" width="9.140625" style="85"/>
    <col min="3834" max="3834" width="2.5703125" style="85" customWidth="1"/>
    <col min="3835" max="3835" width="43.7109375" style="85" customWidth="1"/>
    <col min="3836" max="3836" width="10.140625" style="85" customWidth="1"/>
    <col min="3837" max="3837" width="9.85546875" style="85" customWidth="1"/>
    <col min="3838" max="3838" width="9.7109375" style="85" customWidth="1"/>
    <col min="3839" max="3839" width="9.42578125" style="85" customWidth="1"/>
    <col min="3840" max="4089" width="9.140625" style="85"/>
    <col min="4090" max="4090" width="2.5703125" style="85" customWidth="1"/>
    <col min="4091" max="4091" width="43.7109375" style="85" customWidth="1"/>
    <col min="4092" max="4092" width="10.140625" style="85" customWidth="1"/>
    <col min="4093" max="4093" width="9.85546875" style="85" customWidth="1"/>
    <col min="4094" max="4094" width="9.7109375" style="85" customWidth="1"/>
    <col min="4095" max="4095" width="9.42578125" style="85" customWidth="1"/>
    <col min="4096" max="4345" width="9.140625" style="85"/>
    <col min="4346" max="4346" width="2.5703125" style="85" customWidth="1"/>
    <col min="4347" max="4347" width="43.7109375" style="85" customWidth="1"/>
    <col min="4348" max="4348" width="10.140625" style="85" customWidth="1"/>
    <col min="4349" max="4349" width="9.85546875" style="85" customWidth="1"/>
    <col min="4350" max="4350" width="9.7109375" style="85" customWidth="1"/>
    <col min="4351" max="4351" width="9.42578125" style="85" customWidth="1"/>
    <col min="4352" max="4601" width="9.140625" style="85"/>
    <col min="4602" max="4602" width="2.5703125" style="85" customWidth="1"/>
    <col min="4603" max="4603" width="43.7109375" style="85" customWidth="1"/>
    <col min="4604" max="4604" width="10.140625" style="85" customWidth="1"/>
    <col min="4605" max="4605" width="9.85546875" style="85" customWidth="1"/>
    <col min="4606" max="4606" width="9.7109375" style="85" customWidth="1"/>
    <col min="4607" max="4607" width="9.42578125" style="85" customWidth="1"/>
    <col min="4608" max="4857" width="9.140625" style="85"/>
    <col min="4858" max="4858" width="2.5703125" style="85" customWidth="1"/>
    <col min="4859" max="4859" width="43.7109375" style="85" customWidth="1"/>
    <col min="4860" max="4860" width="10.140625" style="85" customWidth="1"/>
    <col min="4861" max="4861" width="9.85546875" style="85" customWidth="1"/>
    <col min="4862" max="4862" width="9.7109375" style="85" customWidth="1"/>
    <col min="4863" max="4863" width="9.42578125" style="85" customWidth="1"/>
    <col min="4864" max="5113" width="9.140625" style="85"/>
    <col min="5114" max="5114" width="2.5703125" style="85" customWidth="1"/>
    <col min="5115" max="5115" width="43.7109375" style="85" customWidth="1"/>
    <col min="5116" max="5116" width="10.140625" style="85" customWidth="1"/>
    <col min="5117" max="5117" width="9.85546875" style="85" customWidth="1"/>
    <col min="5118" max="5118" width="9.7109375" style="85" customWidth="1"/>
    <col min="5119" max="5119" width="9.42578125" style="85" customWidth="1"/>
    <col min="5120" max="5369" width="9.140625" style="85"/>
    <col min="5370" max="5370" width="2.5703125" style="85" customWidth="1"/>
    <col min="5371" max="5371" width="43.7109375" style="85" customWidth="1"/>
    <col min="5372" max="5372" width="10.140625" style="85" customWidth="1"/>
    <col min="5373" max="5373" width="9.85546875" style="85" customWidth="1"/>
    <col min="5374" max="5374" width="9.7109375" style="85" customWidth="1"/>
    <col min="5375" max="5375" width="9.42578125" style="85" customWidth="1"/>
    <col min="5376" max="5625" width="9.140625" style="85"/>
    <col min="5626" max="5626" width="2.5703125" style="85" customWidth="1"/>
    <col min="5627" max="5627" width="43.7109375" style="85" customWidth="1"/>
    <col min="5628" max="5628" width="10.140625" style="85" customWidth="1"/>
    <col min="5629" max="5629" width="9.85546875" style="85" customWidth="1"/>
    <col min="5630" max="5630" width="9.7109375" style="85" customWidth="1"/>
    <col min="5631" max="5631" width="9.42578125" style="85" customWidth="1"/>
    <col min="5632" max="5881" width="9.140625" style="85"/>
    <col min="5882" max="5882" width="2.5703125" style="85" customWidth="1"/>
    <col min="5883" max="5883" width="43.7109375" style="85" customWidth="1"/>
    <col min="5884" max="5884" width="10.140625" style="85" customWidth="1"/>
    <col min="5885" max="5885" width="9.85546875" style="85" customWidth="1"/>
    <col min="5886" max="5886" width="9.7109375" style="85" customWidth="1"/>
    <col min="5887" max="5887" width="9.42578125" style="85" customWidth="1"/>
    <col min="5888" max="6137" width="9.140625" style="85"/>
    <col min="6138" max="6138" width="2.5703125" style="85" customWidth="1"/>
    <col min="6139" max="6139" width="43.7109375" style="85" customWidth="1"/>
    <col min="6140" max="6140" width="10.140625" style="85" customWidth="1"/>
    <col min="6141" max="6141" width="9.85546875" style="85" customWidth="1"/>
    <col min="6142" max="6142" width="9.7109375" style="85" customWidth="1"/>
    <col min="6143" max="6143" width="9.42578125" style="85" customWidth="1"/>
    <col min="6144" max="6393" width="9.140625" style="85"/>
    <col min="6394" max="6394" width="2.5703125" style="85" customWidth="1"/>
    <col min="6395" max="6395" width="43.7109375" style="85" customWidth="1"/>
    <col min="6396" max="6396" width="10.140625" style="85" customWidth="1"/>
    <col min="6397" max="6397" width="9.85546875" style="85" customWidth="1"/>
    <col min="6398" max="6398" width="9.7109375" style="85" customWidth="1"/>
    <col min="6399" max="6399" width="9.42578125" style="85" customWidth="1"/>
    <col min="6400" max="6649" width="9.140625" style="85"/>
    <col min="6650" max="6650" width="2.5703125" style="85" customWidth="1"/>
    <col min="6651" max="6651" width="43.7109375" style="85" customWidth="1"/>
    <col min="6652" max="6652" width="10.140625" style="85" customWidth="1"/>
    <col min="6653" max="6653" width="9.85546875" style="85" customWidth="1"/>
    <col min="6654" max="6654" width="9.7109375" style="85" customWidth="1"/>
    <col min="6655" max="6655" width="9.42578125" style="85" customWidth="1"/>
    <col min="6656" max="6905" width="9.140625" style="85"/>
    <col min="6906" max="6906" width="2.5703125" style="85" customWidth="1"/>
    <col min="6907" max="6907" width="43.7109375" style="85" customWidth="1"/>
    <col min="6908" max="6908" width="10.140625" style="85" customWidth="1"/>
    <col min="6909" max="6909" width="9.85546875" style="85" customWidth="1"/>
    <col min="6910" max="6910" width="9.7109375" style="85" customWidth="1"/>
    <col min="6911" max="6911" width="9.42578125" style="85" customWidth="1"/>
    <col min="6912" max="7161" width="9.140625" style="85"/>
    <col min="7162" max="7162" width="2.5703125" style="85" customWidth="1"/>
    <col min="7163" max="7163" width="43.7109375" style="85" customWidth="1"/>
    <col min="7164" max="7164" width="10.140625" style="85" customWidth="1"/>
    <col min="7165" max="7165" width="9.85546875" style="85" customWidth="1"/>
    <col min="7166" max="7166" width="9.7109375" style="85" customWidth="1"/>
    <col min="7167" max="7167" width="9.42578125" style="85" customWidth="1"/>
    <col min="7168" max="7417" width="9.140625" style="85"/>
    <col min="7418" max="7418" width="2.5703125" style="85" customWidth="1"/>
    <col min="7419" max="7419" width="43.7109375" style="85" customWidth="1"/>
    <col min="7420" max="7420" width="10.140625" style="85" customWidth="1"/>
    <col min="7421" max="7421" width="9.85546875" style="85" customWidth="1"/>
    <col min="7422" max="7422" width="9.7109375" style="85" customWidth="1"/>
    <col min="7423" max="7423" width="9.42578125" style="85" customWidth="1"/>
    <col min="7424" max="7673" width="9.140625" style="85"/>
    <col min="7674" max="7674" width="2.5703125" style="85" customWidth="1"/>
    <col min="7675" max="7675" width="43.7109375" style="85" customWidth="1"/>
    <col min="7676" max="7676" width="10.140625" style="85" customWidth="1"/>
    <col min="7677" max="7677" width="9.85546875" style="85" customWidth="1"/>
    <col min="7678" max="7678" width="9.7109375" style="85" customWidth="1"/>
    <col min="7679" max="7679" width="9.42578125" style="85" customWidth="1"/>
    <col min="7680" max="7929" width="9.140625" style="85"/>
    <col min="7930" max="7930" width="2.5703125" style="85" customWidth="1"/>
    <col min="7931" max="7931" width="43.7109375" style="85" customWidth="1"/>
    <col min="7932" max="7932" width="10.140625" style="85" customWidth="1"/>
    <col min="7933" max="7933" width="9.85546875" style="85" customWidth="1"/>
    <col min="7934" max="7934" width="9.7109375" style="85" customWidth="1"/>
    <col min="7935" max="7935" width="9.42578125" style="85" customWidth="1"/>
    <col min="7936" max="8185" width="9.140625" style="85"/>
    <col min="8186" max="8186" width="2.5703125" style="85" customWidth="1"/>
    <col min="8187" max="8187" width="43.7109375" style="85" customWidth="1"/>
    <col min="8188" max="8188" width="10.140625" style="85" customWidth="1"/>
    <col min="8189" max="8189" width="9.85546875" style="85" customWidth="1"/>
    <col min="8190" max="8190" width="9.7109375" style="85" customWidth="1"/>
    <col min="8191" max="8191" width="9.42578125" style="85" customWidth="1"/>
    <col min="8192" max="8441" width="9.140625" style="85"/>
    <col min="8442" max="8442" width="2.5703125" style="85" customWidth="1"/>
    <col min="8443" max="8443" width="43.7109375" style="85" customWidth="1"/>
    <col min="8444" max="8444" width="10.140625" style="85" customWidth="1"/>
    <col min="8445" max="8445" width="9.85546875" style="85" customWidth="1"/>
    <col min="8446" max="8446" width="9.7109375" style="85" customWidth="1"/>
    <col min="8447" max="8447" width="9.42578125" style="85" customWidth="1"/>
    <col min="8448" max="8697" width="9.140625" style="85"/>
    <col min="8698" max="8698" width="2.5703125" style="85" customWidth="1"/>
    <col min="8699" max="8699" width="43.7109375" style="85" customWidth="1"/>
    <col min="8700" max="8700" width="10.140625" style="85" customWidth="1"/>
    <col min="8701" max="8701" width="9.85546875" style="85" customWidth="1"/>
    <col min="8702" max="8702" width="9.7109375" style="85" customWidth="1"/>
    <col min="8703" max="8703" width="9.42578125" style="85" customWidth="1"/>
    <col min="8704" max="8953" width="9.140625" style="85"/>
    <col min="8954" max="8954" width="2.5703125" style="85" customWidth="1"/>
    <col min="8955" max="8955" width="43.7109375" style="85" customWidth="1"/>
    <col min="8956" max="8956" width="10.140625" style="85" customWidth="1"/>
    <col min="8957" max="8957" width="9.85546875" style="85" customWidth="1"/>
    <col min="8958" max="8958" width="9.7109375" style="85" customWidth="1"/>
    <col min="8959" max="8959" width="9.42578125" style="85" customWidth="1"/>
    <col min="8960" max="9209" width="9.140625" style="85"/>
    <col min="9210" max="9210" width="2.5703125" style="85" customWidth="1"/>
    <col min="9211" max="9211" width="43.7109375" style="85" customWidth="1"/>
    <col min="9212" max="9212" width="10.140625" style="85" customWidth="1"/>
    <col min="9213" max="9213" width="9.85546875" style="85" customWidth="1"/>
    <col min="9214" max="9214" width="9.7109375" style="85" customWidth="1"/>
    <col min="9215" max="9215" width="9.42578125" style="85" customWidth="1"/>
    <col min="9216" max="9465" width="9.140625" style="85"/>
    <col min="9466" max="9466" width="2.5703125" style="85" customWidth="1"/>
    <col min="9467" max="9467" width="43.7109375" style="85" customWidth="1"/>
    <col min="9468" max="9468" width="10.140625" style="85" customWidth="1"/>
    <col min="9469" max="9469" width="9.85546875" style="85" customWidth="1"/>
    <col min="9470" max="9470" width="9.7109375" style="85" customWidth="1"/>
    <col min="9471" max="9471" width="9.42578125" style="85" customWidth="1"/>
    <col min="9472" max="9721" width="9.140625" style="85"/>
    <col min="9722" max="9722" width="2.5703125" style="85" customWidth="1"/>
    <col min="9723" max="9723" width="43.7109375" style="85" customWidth="1"/>
    <col min="9724" max="9724" width="10.140625" style="85" customWidth="1"/>
    <col min="9725" max="9725" width="9.85546875" style="85" customWidth="1"/>
    <col min="9726" max="9726" width="9.7109375" style="85" customWidth="1"/>
    <col min="9727" max="9727" width="9.42578125" style="85" customWidth="1"/>
    <col min="9728" max="9977" width="9.140625" style="85"/>
    <col min="9978" max="9978" width="2.5703125" style="85" customWidth="1"/>
    <col min="9979" max="9979" width="43.7109375" style="85" customWidth="1"/>
    <col min="9980" max="9980" width="10.140625" style="85" customWidth="1"/>
    <col min="9981" max="9981" width="9.85546875" style="85" customWidth="1"/>
    <col min="9982" max="9982" width="9.7109375" style="85" customWidth="1"/>
    <col min="9983" max="9983" width="9.42578125" style="85" customWidth="1"/>
    <col min="9984" max="10233" width="9.140625" style="85"/>
    <col min="10234" max="10234" width="2.5703125" style="85" customWidth="1"/>
    <col min="10235" max="10235" width="43.7109375" style="85" customWidth="1"/>
    <col min="10236" max="10236" width="10.140625" style="85" customWidth="1"/>
    <col min="10237" max="10237" width="9.85546875" style="85" customWidth="1"/>
    <col min="10238" max="10238" width="9.7109375" style="85" customWidth="1"/>
    <col min="10239" max="10239" width="9.42578125" style="85" customWidth="1"/>
    <col min="10240" max="10489" width="9.140625" style="85"/>
    <col min="10490" max="10490" width="2.5703125" style="85" customWidth="1"/>
    <col min="10491" max="10491" width="43.7109375" style="85" customWidth="1"/>
    <col min="10492" max="10492" width="10.140625" style="85" customWidth="1"/>
    <col min="10493" max="10493" width="9.85546875" style="85" customWidth="1"/>
    <col min="10494" max="10494" width="9.7109375" style="85" customWidth="1"/>
    <col min="10495" max="10495" width="9.42578125" style="85" customWidth="1"/>
    <col min="10496" max="10745" width="9.140625" style="85"/>
    <col min="10746" max="10746" width="2.5703125" style="85" customWidth="1"/>
    <col min="10747" max="10747" width="43.7109375" style="85" customWidth="1"/>
    <col min="10748" max="10748" width="10.140625" style="85" customWidth="1"/>
    <col min="10749" max="10749" width="9.85546875" style="85" customWidth="1"/>
    <col min="10750" max="10750" width="9.7109375" style="85" customWidth="1"/>
    <col min="10751" max="10751" width="9.42578125" style="85" customWidth="1"/>
    <col min="10752" max="11001" width="9.140625" style="85"/>
    <col min="11002" max="11002" width="2.5703125" style="85" customWidth="1"/>
    <col min="11003" max="11003" width="43.7109375" style="85" customWidth="1"/>
    <col min="11004" max="11004" width="10.140625" style="85" customWidth="1"/>
    <col min="11005" max="11005" width="9.85546875" style="85" customWidth="1"/>
    <col min="11006" max="11006" width="9.7109375" style="85" customWidth="1"/>
    <col min="11007" max="11007" width="9.42578125" style="85" customWidth="1"/>
    <col min="11008" max="11257" width="9.140625" style="85"/>
    <col min="11258" max="11258" width="2.5703125" style="85" customWidth="1"/>
    <col min="11259" max="11259" width="43.7109375" style="85" customWidth="1"/>
    <col min="11260" max="11260" width="10.140625" style="85" customWidth="1"/>
    <col min="11261" max="11261" width="9.85546875" style="85" customWidth="1"/>
    <col min="11262" max="11262" width="9.7109375" style="85" customWidth="1"/>
    <col min="11263" max="11263" width="9.42578125" style="85" customWidth="1"/>
    <col min="11264" max="11513" width="9.140625" style="85"/>
    <col min="11514" max="11514" width="2.5703125" style="85" customWidth="1"/>
    <col min="11515" max="11515" width="43.7109375" style="85" customWidth="1"/>
    <col min="11516" max="11516" width="10.140625" style="85" customWidth="1"/>
    <col min="11517" max="11517" width="9.85546875" style="85" customWidth="1"/>
    <col min="11518" max="11518" width="9.7109375" style="85" customWidth="1"/>
    <col min="11519" max="11519" width="9.42578125" style="85" customWidth="1"/>
    <col min="11520" max="11769" width="9.140625" style="85"/>
    <col min="11770" max="11770" width="2.5703125" style="85" customWidth="1"/>
    <col min="11771" max="11771" width="43.7109375" style="85" customWidth="1"/>
    <col min="11772" max="11772" width="10.140625" style="85" customWidth="1"/>
    <col min="11773" max="11773" width="9.85546875" style="85" customWidth="1"/>
    <col min="11774" max="11774" width="9.7109375" style="85" customWidth="1"/>
    <col min="11775" max="11775" width="9.42578125" style="85" customWidth="1"/>
    <col min="11776" max="12025" width="9.140625" style="85"/>
    <col min="12026" max="12026" width="2.5703125" style="85" customWidth="1"/>
    <col min="12027" max="12027" width="43.7109375" style="85" customWidth="1"/>
    <col min="12028" max="12028" width="10.140625" style="85" customWidth="1"/>
    <col min="12029" max="12029" width="9.85546875" style="85" customWidth="1"/>
    <col min="12030" max="12030" width="9.7109375" style="85" customWidth="1"/>
    <col min="12031" max="12031" width="9.42578125" style="85" customWidth="1"/>
    <col min="12032" max="12281" width="9.140625" style="85"/>
    <col min="12282" max="12282" width="2.5703125" style="85" customWidth="1"/>
    <col min="12283" max="12283" width="43.7109375" style="85" customWidth="1"/>
    <col min="12284" max="12284" width="10.140625" style="85" customWidth="1"/>
    <col min="12285" max="12285" width="9.85546875" style="85" customWidth="1"/>
    <col min="12286" max="12286" width="9.7109375" style="85" customWidth="1"/>
    <col min="12287" max="12287" width="9.42578125" style="85" customWidth="1"/>
    <col min="12288" max="12537" width="9.140625" style="85"/>
    <col min="12538" max="12538" width="2.5703125" style="85" customWidth="1"/>
    <col min="12539" max="12539" width="43.7109375" style="85" customWidth="1"/>
    <col min="12540" max="12540" width="10.140625" style="85" customWidth="1"/>
    <col min="12541" max="12541" width="9.85546875" style="85" customWidth="1"/>
    <col min="12542" max="12542" width="9.7109375" style="85" customWidth="1"/>
    <col min="12543" max="12543" width="9.42578125" style="85" customWidth="1"/>
    <col min="12544" max="12793" width="9.140625" style="85"/>
    <col min="12794" max="12794" width="2.5703125" style="85" customWidth="1"/>
    <col min="12795" max="12795" width="43.7109375" style="85" customWidth="1"/>
    <col min="12796" max="12796" width="10.140625" style="85" customWidth="1"/>
    <col min="12797" max="12797" width="9.85546875" style="85" customWidth="1"/>
    <col min="12798" max="12798" width="9.7109375" style="85" customWidth="1"/>
    <col min="12799" max="12799" width="9.42578125" style="85" customWidth="1"/>
    <col min="12800" max="13049" width="9.140625" style="85"/>
    <col min="13050" max="13050" width="2.5703125" style="85" customWidth="1"/>
    <col min="13051" max="13051" width="43.7109375" style="85" customWidth="1"/>
    <col min="13052" max="13052" width="10.140625" style="85" customWidth="1"/>
    <col min="13053" max="13053" width="9.85546875" style="85" customWidth="1"/>
    <col min="13054" max="13054" width="9.7109375" style="85" customWidth="1"/>
    <col min="13055" max="13055" width="9.42578125" style="85" customWidth="1"/>
    <col min="13056" max="13305" width="9.140625" style="85"/>
    <col min="13306" max="13306" width="2.5703125" style="85" customWidth="1"/>
    <col min="13307" max="13307" width="43.7109375" style="85" customWidth="1"/>
    <col min="13308" max="13308" width="10.140625" style="85" customWidth="1"/>
    <col min="13309" max="13309" width="9.85546875" style="85" customWidth="1"/>
    <col min="13310" max="13310" width="9.7109375" style="85" customWidth="1"/>
    <col min="13311" max="13311" width="9.42578125" style="85" customWidth="1"/>
    <col min="13312" max="13561" width="9.140625" style="85"/>
    <col min="13562" max="13562" width="2.5703125" style="85" customWidth="1"/>
    <col min="13563" max="13563" width="43.7109375" style="85" customWidth="1"/>
    <col min="13564" max="13564" width="10.140625" style="85" customWidth="1"/>
    <col min="13565" max="13565" width="9.85546875" style="85" customWidth="1"/>
    <col min="13566" max="13566" width="9.7109375" style="85" customWidth="1"/>
    <col min="13567" max="13567" width="9.42578125" style="85" customWidth="1"/>
    <col min="13568" max="13817" width="9.140625" style="85"/>
    <col min="13818" max="13818" width="2.5703125" style="85" customWidth="1"/>
    <col min="13819" max="13819" width="43.7109375" style="85" customWidth="1"/>
    <col min="13820" max="13820" width="10.140625" style="85" customWidth="1"/>
    <col min="13821" max="13821" width="9.85546875" style="85" customWidth="1"/>
    <col min="13822" max="13822" width="9.7109375" style="85" customWidth="1"/>
    <col min="13823" max="13823" width="9.42578125" style="85" customWidth="1"/>
    <col min="13824" max="14073" width="9.140625" style="85"/>
    <col min="14074" max="14074" width="2.5703125" style="85" customWidth="1"/>
    <col min="14075" max="14075" width="43.7109375" style="85" customWidth="1"/>
    <col min="14076" max="14076" width="10.140625" style="85" customWidth="1"/>
    <col min="14077" max="14077" width="9.85546875" style="85" customWidth="1"/>
    <col min="14078" max="14078" width="9.7109375" style="85" customWidth="1"/>
    <col min="14079" max="14079" width="9.42578125" style="85" customWidth="1"/>
    <col min="14080" max="14329" width="9.140625" style="85"/>
    <col min="14330" max="14330" width="2.5703125" style="85" customWidth="1"/>
    <col min="14331" max="14331" width="43.7109375" style="85" customWidth="1"/>
    <col min="14332" max="14332" width="10.140625" style="85" customWidth="1"/>
    <col min="14333" max="14333" width="9.85546875" style="85" customWidth="1"/>
    <col min="14334" max="14334" width="9.7109375" style="85" customWidth="1"/>
    <col min="14335" max="14335" width="9.42578125" style="85" customWidth="1"/>
    <col min="14336" max="14585" width="9.140625" style="85"/>
    <col min="14586" max="14586" width="2.5703125" style="85" customWidth="1"/>
    <col min="14587" max="14587" width="43.7109375" style="85" customWidth="1"/>
    <col min="14588" max="14588" width="10.140625" style="85" customWidth="1"/>
    <col min="14589" max="14589" width="9.85546875" style="85" customWidth="1"/>
    <col min="14590" max="14590" width="9.7109375" style="85" customWidth="1"/>
    <col min="14591" max="14591" width="9.42578125" style="85" customWidth="1"/>
    <col min="14592" max="14841" width="9.140625" style="85"/>
    <col min="14842" max="14842" width="2.5703125" style="85" customWidth="1"/>
    <col min="14843" max="14843" width="43.7109375" style="85" customWidth="1"/>
    <col min="14844" max="14844" width="10.140625" style="85" customWidth="1"/>
    <col min="14845" max="14845" width="9.85546875" style="85" customWidth="1"/>
    <col min="14846" max="14846" width="9.7109375" style="85" customWidth="1"/>
    <col min="14847" max="14847" width="9.42578125" style="85" customWidth="1"/>
    <col min="14848" max="15097" width="9.140625" style="85"/>
    <col min="15098" max="15098" width="2.5703125" style="85" customWidth="1"/>
    <col min="15099" max="15099" width="43.7109375" style="85" customWidth="1"/>
    <col min="15100" max="15100" width="10.140625" style="85" customWidth="1"/>
    <col min="15101" max="15101" width="9.85546875" style="85" customWidth="1"/>
    <col min="15102" max="15102" width="9.7109375" style="85" customWidth="1"/>
    <col min="15103" max="15103" width="9.42578125" style="85" customWidth="1"/>
    <col min="15104" max="15353" width="9.140625" style="85"/>
    <col min="15354" max="15354" width="2.5703125" style="85" customWidth="1"/>
    <col min="15355" max="15355" width="43.7109375" style="85" customWidth="1"/>
    <col min="15356" max="15356" width="10.140625" style="85" customWidth="1"/>
    <col min="15357" max="15357" width="9.85546875" style="85" customWidth="1"/>
    <col min="15358" max="15358" width="9.7109375" style="85" customWidth="1"/>
    <col min="15359" max="15359" width="9.42578125" style="85" customWidth="1"/>
    <col min="15360" max="15609" width="9.140625" style="85"/>
    <col min="15610" max="15610" width="2.5703125" style="85" customWidth="1"/>
    <col min="15611" max="15611" width="43.7109375" style="85" customWidth="1"/>
    <col min="15612" max="15612" width="10.140625" style="85" customWidth="1"/>
    <col min="15613" max="15613" width="9.85546875" style="85" customWidth="1"/>
    <col min="15614" max="15614" width="9.7109375" style="85" customWidth="1"/>
    <col min="15615" max="15615" width="9.42578125" style="85" customWidth="1"/>
    <col min="15616" max="15865" width="9.140625" style="85"/>
    <col min="15866" max="15866" width="2.5703125" style="85" customWidth="1"/>
    <col min="15867" max="15867" width="43.7109375" style="85" customWidth="1"/>
    <col min="15868" max="15868" width="10.140625" style="85" customWidth="1"/>
    <col min="15869" max="15869" width="9.85546875" style="85" customWidth="1"/>
    <col min="15870" max="15870" width="9.7109375" style="85" customWidth="1"/>
    <col min="15871" max="15871" width="9.42578125" style="85" customWidth="1"/>
    <col min="15872" max="16121" width="9.140625" style="85"/>
    <col min="16122" max="16122" width="2.5703125" style="85" customWidth="1"/>
    <col min="16123" max="16123" width="43.7109375" style="85" customWidth="1"/>
    <col min="16124" max="16124" width="10.140625" style="85" customWidth="1"/>
    <col min="16125" max="16125" width="9.85546875" style="85" customWidth="1"/>
    <col min="16126" max="16126" width="9.7109375" style="85" customWidth="1"/>
    <col min="16127" max="16127" width="9.42578125" style="85" customWidth="1"/>
    <col min="16128" max="16384" width="9.140625" style="85"/>
  </cols>
  <sheetData>
    <row r="1" spans="1:8" x14ac:dyDescent="0.25">
      <c r="A1" s="1"/>
      <c r="B1" s="1"/>
      <c r="C1" s="1"/>
      <c r="D1" s="26" t="s">
        <v>0</v>
      </c>
      <c r="E1" s="1"/>
      <c r="F1" s="1"/>
    </row>
    <row r="2" spans="1:8" x14ac:dyDescent="0.25">
      <c r="A2" s="1"/>
      <c r="B2" s="1"/>
      <c r="C2" s="1"/>
      <c r="D2" s="26" t="s">
        <v>408</v>
      </c>
      <c r="E2" s="1"/>
      <c r="F2" s="1"/>
    </row>
    <row r="3" spans="1:8" x14ac:dyDescent="0.25">
      <c r="A3" s="1"/>
      <c r="B3" s="1"/>
      <c r="C3" s="1"/>
      <c r="D3" s="26" t="s">
        <v>383</v>
      </c>
      <c r="E3" s="1"/>
      <c r="F3" s="1"/>
    </row>
    <row r="4" spans="1:8" x14ac:dyDescent="0.25">
      <c r="A4" s="1"/>
      <c r="B4" s="1"/>
      <c r="C4" s="1"/>
      <c r="D4" s="2" t="s">
        <v>233</v>
      </c>
      <c r="E4" s="1"/>
      <c r="F4" s="1"/>
    </row>
    <row r="5" spans="1:8" ht="10.5" customHeight="1" x14ac:dyDescent="0.25">
      <c r="A5" s="1"/>
      <c r="B5" s="1"/>
      <c r="C5" s="90"/>
      <c r="D5" s="1"/>
      <c r="E5" s="1"/>
      <c r="F5" s="1"/>
    </row>
    <row r="6" spans="1:8" ht="11.25" customHeight="1" x14ac:dyDescent="0.25">
      <c r="A6" s="1"/>
      <c r="B6" s="1"/>
      <c r="C6" s="1"/>
      <c r="D6" s="1"/>
      <c r="E6" s="1"/>
      <c r="F6" s="1"/>
    </row>
    <row r="7" spans="1:8" ht="15" customHeight="1" x14ac:dyDescent="0.25">
      <c r="A7" s="596" t="s">
        <v>409</v>
      </c>
      <c r="B7" s="596"/>
      <c r="C7" s="596"/>
      <c r="D7" s="596"/>
      <c r="E7" s="596"/>
      <c r="F7" s="1"/>
    </row>
    <row r="8" spans="1:8" ht="12.75" customHeight="1" x14ac:dyDescent="0.25">
      <c r="A8" s="596"/>
      <c r="B8" s="596"/>
      <c r="C8" s="596"/>
      <c r="D8" s="596"/>
      <c r="E8" s="596"/>
      <c r="F8" s="1"/>
    </row>
    <row r="9" spans="1:8" ht="18" customHeight="1" x14ac:dyDescent="0.25">
      <c r="B9" s="86"/>
      <c r="C9" s="87"/>
      <c r="D9" s="87"/>
    </row>
    <row r="10" spans="1:8" ht="12" customHeight="1" x14ac:dyDescent="0.25">
      <c r="A10" s="1"/>
      <c r="B10" s="522" t="s">
        <v>2</v>
      </c>
      <c r="C10" s="522" t="s">
        <v>127</v>
      </c>
      <c r="D10" s="593" t="s">
        <v>58</v>
      </c>
      <c r="E10" s="1"/>
      <c r="F10" s="1"/>
    </row>
    <row r="11" spans="1:8" ht="12" customHeight="1" x14ac:dyDescent="0.25">
      <c r="A11" s="1"/>
      <c r="B11" s="523"/>
      <c r="C11" s="523"/>
      <c r="D11" s="594"/>
      <c r="E11" s="1"/>
      <c r="F11" s="1"/>
    </row>
    <row r="12" spans="1:8" ht="33.75" customHeight="1" x14ac:dyDescent="0.25">
      <c r="A12" s="1"/>
      <c r="B12" s="524"/>
      <c r="C12" s="524"/>
      <c r="D12" s="595"/>
      <c r="E12" s="31"/>
      <c r="F12" s="1"/>
    </row>
    <row r="13" spans="1:8" ht="14.1" customHeight="1" x14ac:dyDescent="0.25">
      <c r="A13" s="1"/>
      <c r="B13" s="74">
        <v>1</v>
      </c>
      <c r="C13" s="33" t="s">
        <v>43</v>
      </c>
      <c r="D13" s="50">
        <f>'11 priedas'!F11+'11 priedas'!F49+'11 priedas'!F69+'11 priedas'!F78+'11 priedas'!F100+'11 priedas'!F110+'11 priedas'!F157</f>
        <v>63889.583000000013</v>
      </c>
      <c r="E13" s="91"/>
      <c r="F13" s="91"/>
      <c r="G13" s="88"/>
      <c r="H13" s="88"/>
    </row>
    <row r="14" spans="1:8" ht="14.1" customHeight="1" x14ac:dyDescent="0.25">
      <c r="A14" s="1"/>
      <c r="B14" s="74">
        <v>2</v>
      </c>
      <c r="C14" s="7" t="s">
        <v>98</v>
      </c>
      <c r="D14" s="50">
        <f>'11 priedas'!F44</f>
        <v>111.15</v>
      </c>
      <c r="E14" s="1"/>
    </row>
    <row r="15" spans="1:8" ht="13.5" customHeight="1" x14ac:dyDescent="0.25">
      <c r="A15" s="1"/>
      <c r="B15" s="74">
        <v>3</v>
      </c>
      <c r="C15" s="34" t="s">
        <v>99</v>
      </c>
      <c r="D15" s="50">
        <f>+'11 priedas'!F45</f>
        <v>3500</v>
      </c>
      <c r="E15" s="1"/>
    </row>
    <row r="16" spans="1:8" ht="14.1" customHeight="1" x14ac:dyDescent="0.25">
      <c r="A16" s="1"/>
      <c r="B16" s="74">
        <v>4</v>
      </c>
      <c r="C16" s="46" t="s">
        <v>52</v>
      </c>
      <c r="D16" s="50">
        <f>+'11 priedas'!F46</f>
        <v>1493.8240000000001</v>
      </c>
      <c r="E16" s="1"/>
    </row>
    <row r="17" spans="1:5" ht="14.1" customHeight="1" x14ac:dyDescent="0.25">
      <c r="A17" s="1"/>
      <c r="B17" s="74">
        <v>5</v>
      </c>
      <c r="C17" s="5" t="s">
        <v>68</v>
      </c>
      <c r="D17" s="50">
        <f>+'11 priedas'!F64</f>
        <v>1092.4110000000001</v>
      </c>
      <c r="E17" s="1"/>
    </row>
    <row r="18" spans="1:5" ht="14.1" customHeight="1" x14ac:dyDescent="0.25">
      <c r="A18" s="1"/>
      <c r="B18" s="74">
        <v>6</v>
      </c>
      <c r="C18" s="5" t="s">
        <v>106</v>
      </c>
      <c r="D18" s="50">
        <f>+'11 priedas'!F65</f>
        <v>832.78399999999999</v>
      </c>
      <c r="E18" s="1"/>
    </row>
    <row r="19" spans="1:5" ht="15" customHeight="1" x14ac:dyDescent="0.25">
      <c r="A19" s="1"/>
      <c r="B19" s="74">
        <v>7</v>
      </c>
      <c r="C19" s="34" t="s">
        <v>55</v>
      </c>
      <c r="D19" s="50">
        <f>+'11 priedas'!F66</f>
        <v>1596</v>
      </c>
      <c r="E19" s="1"/>
    </row>
    <row r="20" spans="1:5" ht="15" customHeight="1" x14ac:dyDescent="0.25">
      <c r="A20" s="1"/>
      <c r="B20" s="74">
        <v>8</v>
      </c>
      <c r="C20" s="5" t="s">
        <v>56</v>
      </c>
      <c r="D20" s="50">
        <f>+'11 priedas'!F63</f>
        <v>433.42</v>
      </c>
      <c r="E20" s="1"/>
    </row>
    <row r="21" spans="1:5" ht="14.1" customHeight="1" x14ac:dyDescent="0.25">
      <c r="A21" s="1"/>
      <c r="B21" s="74">
        <v>9</v>
      </c>
      <c r="C21" s="5" t="s">
        <v>69</v>
      </c>
      <c r="D21" s="50">
        <f>+'11 priedas'!F125</f>
        <v>366.9</v>
      </c>
      <c r="E21" s="1"/>
    </row>
    <row r="22" spans="1:5" ht="14.1" customHeight="1" x14ac:dyDescent="0.25">
      <c r="A22" s="1"/>
      <c r="B22" s="74">
        <v>10</v>
      </c>
      <c r="C22" s="5" t="s">
        <v>118</v>
      </c>
      <c r="D22" s="50">
        <f>+'11 priedas'!F126</f>
        <v>381.1</v>
      </c>
      <c r="E22" s="1"/>
    </row>
    <row r="23" spans="1:5" ht="14.1" customHeight="1" x14ac:dyDescent="0.25">
      <c r="A23" s="1"/>
      <c r="B23" s="74">
        <v>11</v>
      </c>
      <c r="C23" s="46" t="s">
        <v>119</v>
      </c>
      <c r="D23" s="50">
        <f>+'11 priedas'!F127</f>
        <v>1353.6679999999999</v>
      </c>
      <c r="E23" s="1"/>
    </row>
    <row r="24" spans="1:5" ht="14.1" customHeight="1" x14ac:dyDescent="0.25">
      <c r="A24" s="1"/>
      <c r="B24" s="74">
        <v>12</v>
      </c>
      <c r="C24" s="5" t="s">
        <v>235</v>
      </c>
      <c r="D24" s="50">
        <f>+'11 priedas'!F124</f>
        <v>181.8</v>
      </c>
      <c r="E24" s="1"/>
    </row>
    <row r="25" spans="1:5" ht="14.1" customHeight="1" x14ac:dyDescent="0.25">
      <c r="A25" s="1"/>
      <c r="B25" s="74">
        <v>13</v>
      </c>
      <c r="C25" s="3" t="s">
        <v>86</v>
      </c>
      <c r="D25" s="50">
        <f>+'11 priedas'!F123</f>
        <v>306.7</v>
      </c>
      <c r="E25" s="1"/>
    </row>
    <row r="26" spans="1:5" ht="14.1" customHeight="1" x14ac:dyDescent="0.25">
      <c r="A26" s="1"/>
      <c r="B26" s="74">
        <v>14</v>
      </c>
      <c r="C26" s="5" t="s">
        <v>70</v>
      </c>
      <c r="D26" s="50">
        <f>+'11 priedas'!F130</f>
        <v>981.78399999999999</v>
      </c>
      <c r="E26" s="1"/>
    </row>
    <row r="27" spans="1:5" ht="14.1" customHeight="1" x14ac:dyDescent="0.25">
      <c r="A27" s="1"/>
      <c r="B27" s="74">
        <v>15</v>
      </c>
      <c r="C27" s="5" t="s">
        <v>71</v>
      </c>
      <c r="D27" s="50">
        <f>+'11 priedas'!F131</f>
        <v>352.23599999999999</v>
      </c>
      <c r="E27" s="1"/>
    </row>
    <row r="28" spans="1:5" ht="14.1" customHeight="1" x14ac:dyDescent="0.25">
      <c r="A28" s="1"/>
      <c r="B28" s="74">
        <v>16</v>
      </c>
      <c r="C28" s="5" t="s">
        <v>72</v>
      </c>
      <c r="D28" s="50">
        <f>+'11 priedas'!F132</f>
        <v>1752.752</v>
      </c>
      <c r="E28" s="1"/>
    </row>
    <row r="29" spans="1:5" ht="14.1" customHeight="1" x14ac:dyDescent="0.25">
      <c r="A29" s="1"/>
      <c r="B29" s="74">
        <v>17</v>
      </c>
      <c r="C29" s="5" t="s">
        <v>73</v>
      </c>
      <c r="D29" s="50">
        <f>+'11 priedas'!F133</f>
        <v>1223.136</v>
      </c>
      <c r="E29" s="1"/>
    </row>
    <row r="30" spans="1:5" ht="14.1" customHeight="1" x14ac:dyDescent="0.25">
      <c r="A30" s="1"/>
      <c r="B30" s="74">
        <v>19</v>
      </c>
      <c r="C30" s="5" t="s">
        <v>74</v>
      </c>
      <c r="D30" s="50">
        <f>+'11 priedas'!F134</f>
        <v>373.65200000000004</v>
      </c>
      <c r="E30" s="1"/>
    </row>
    <row r="31" spans="1:5" ht="14.1" customHeight="1" x14ac:dyDescent="0.25">
      <c r="A31" s="1"/>
      <c r="B31" s="74">
        <v>20</v>
      </c>
      <c r="C31" s="5" t="s">
        <v>75</v>
      </c>
      <c r="D31" s="50">
        <f>+'11 priedas'!F135</f>
        <v>1074.1669999999999</v>
      </c>
      <c r="E31" s="1"/>
    </row>
    <row r="32" spans="1:5" ht="14.1" customHeight="1" x14ac:dyDescent="0.25">
      <c r="A32" s="1"/>
      <c r="B32" s="74">
        <v>21</v>
      </c>
      <c r="C32" s="5" t="s">
        <v>76</v>
      </c>
      <c r="D32" s="50">
        <f>+'11 priedas'!F136</f>
        <v>489.81200000000001</v>
      </c>
      <c r="E32" s="1"/>
    </row>
    <row r="33" spans="1:6" ht="14.1" customHeight="1" x14ac:dyDescent="0.25">
      <c r="A33" s="1"/>
      <c r="B33" s="74">
        <v>22</v>
      </c>
      <c r="C33" s="5" t="s">
        <v>120</v>
      </c>
      <c r="D33" s="50">
        <f>+'11 priedas'!F137</f>
        <v>950.67499999999995</v>
      </c>
      <c r="E33" s="1"/>
    </row>
    <row r="34" spans="1:6" ht="14.1" customHeight="1" x14ac:dyDescent="0.25">
      <c r="A34" s="1"/>
      <c r="B34" s="74">
        <v>23</v>
      </c>
      <c r="C34" s="5" t="s">
        <v>77</v>
      </c>
      <c r="D34" s="50">
        <f>+'11 priedas'!F138</f>
        <v>1515.2260000000001</v>
      </c>
      <c r="E34" s="1"/>
    </row>
    <row r="35" spans="1:6" ht="14.1" customHeight="1" x14ac:dyDescent="0.25">
      <c r="A35" s="1"/>
      <c r="B35" s="74">
        <v>24</v>
      </c>
      <c r="C35" s="5" t="s">
        <v>62</v>
      </c>
      <c r="D35" s="50">
        <f>+'11 priedas'!F139</f>
        <v>1351.518</v>
      </c>
      <c r="E35" s="1"/>
      <c r="F35" s="1"/>
    </row>
    <row r="36" spans="1:6" ht="14.1" customHeight="1" x14ac:dyDescent="0.25">
      <c r="A36" s="1"/>
      <c r="B36" s="74">
        <v>25</v>
      </c>
      <c r="C36" s="5" t="s">
        <v>78</v>
      </c>
      <c r="D36" s="50">
        <f>+'11 priedas'!F140</f>
        <v>1880.3920000000001</v>
      </c>
      <c r="E36" s="1"/>
      <c r="F36" s="1"/>
    </row>
    <row r="37" spans="1:6" ht="14.1" customHeight="1" x14ac:dyDescent="0.25">
      <c r="A37" s="1"/>
      <c r="B37" s="74">
        <v>26</v>
      </c>
      <c r="C37" s="5" t="s">
        <v>79</v>
      </c>
      <c r="D37" s="50">
        <f>+'11 priedas'!F141</f>
        <v>1785.9540000000002</v>
      </c>
      <c r="E37" s="1"/>
      <c r="F37" s="1"/>
    </row>
    <row r="38" spans="1:6" ht="14.1" customHeight="1" x14ac:dyDescent="0.25">
      <c r="A38" s="1"/>
      <c r="B38" s="74">
        <v>27</v>
      </c>
      <c r="C38" s="5" t="s">
        <v>80</v>
      </c>
      <c r="D38" s="50">
        <f>+'11 priedas'!F142</f>
        <v>1893.528</v>
      </c>
      <c r="E38" s="1"/>
      <c r="F38" s="1"/>
    </row>
    <row r="39" spans="1:6" ht="14.1" customHeight="1" x14ac:dyDescent="0.25">
      <c r="A39" s="1"/>
      <c r="B39" s="74">
        <v>28</v>
      </c>
      <c r="C39" s="5" t="s">
        <v>65</v>
      </c>
      <c r="D39" s="50">
        <f>+'11 priedas'!F143</f>
        <v>3629.9449999999997</v>
      </c>
      <c r="E39" s="1"/>
      <c r="F39" s="1"/>
    </row>
    <row r="40" spans="1:6" ht="14.1" customHeight="1" x14ac:dyDescent="0.25">
      <c r="A40" s="1"/>
      <c r="B40" s="74">
        <v>29</v>
      </c>
      <c r="C40" s="75" t="s">
        <v>282</v>
      </c>
      <c r="D40" s="50">
        <f>+'11 priedas'!F144</f>
        <v>1230.1379999999999</v>
      </c>
      <c r="E40" s="1"/>
      <c r="F40" s="1"/>
    </row>
    <row r="41" spans="1:6" ht="14.1" customHeight="1" x14ac:dyDescent="0.25">
      <c r="A41" s="1"/>
      <c r="B41" s="74">
        <v>30</v>
      </c>
      <c r="C41" s="3" t="s">
        <v>81</v>
      </c>
      <c r="D41" s="50">
        <f>+'11 priedas'!F145</f>
        <v>1184.2090000000001</v>
      </c>
      <c r="E41" s="1"/>
      <c r="F41" s="1"/>
    </row>
    <row r="42" spans="1:6" ht="14.1" customHeight="1" x14ac:dyDescent="0.25">
      <c r="A42" s="1"/>
      <c r="B42" s="74">
        <v>31</v>
      </c>
      <c r="C42" s="92" t="s">
        <v>82</v>
      </c>
      <c r="D42" s="50">
        <f>+'11 priedas'!F146</f>
        <v>1099.6309999999999</v>
      </c>
      <c r="E42" s="1"/>
      <c r="F42" s="1"/>
    </row>
    <row r="43" spans="1:6" ht="14.1" customHeight="1" x14ac:dyDescent="0.25">
      <c r="A43" s="1"/>
      <c r="B43" s="74">
        <v>32</v>
      </c>
      <c r="C43" s="5" t="s">
        <v>83</v>
      </c>
      <c r="D43" s="50">
        <f>+'11 priedas'!F147</f>
        <v>2087.451</v>
      </c>
      <c r="E43" s="1"/>
      <c r="F43" s="1"/>
    </row>
    <row r="44" spans="1:6" ht="14.1" customHeight="1" x14ac:dyDescent="0.25">
      <c r="A44" s="1"/>
      <c r="B44" s="74">
        <v>33</v>
      </c>
      <c r="C44" s="60" t="s">
        <v>281</v>
      </c>
      <c r="D44" s="50">
        <f>+'11 priedas'!F148</f>
        <v>1717.0250000000001</v>
      </c>
      <c r="E44" s="1"/>
      <c r="F44" s="1"/>
    </row>
    <row r="45" spans="1:6" x14ac:dyDescent="0.25">
      <c r="A45" s="1"/>
      <c r="B45" s="74">
        <v>34</v>
      </c>
      <c r="C45" s="46" t="s">
        <v>84</v>
      </c>
      <c r="D45" s="50">
        <f>+'11 priedas'!F149</f>
        <v>2535.4810000000002</v>
      </c>
      <c r="E45" s="1"/>
      <c r="F45" s="1"/>
    </row>
    <row r="46" spans="1:6" ht="14.1" customHeight="1" x14ac:dyDescent="0.25">
      <c r="A46" s="1"/>
      <c r="B46" s="74">
        <v>35</v>
      </c>
      <c r="C46" s="5" t="s">
        <v>64</v>
      </c>
      <c r="D46" s="50">
        <f>+'11 priedas'!F150</f>
        <v>3806.0129999999999</v>
      </c>
      <c r="E46" s="1"/>
      <c r="F46" s="1"/>
    </row>
    <row r="47" spans="1:6" ht="14.1" customHeight="1" x14ac:dyDescent="0.25">
      <c r="A47" s="1"/>
      <c r="B47" s="74">
        <v>36</v>
      </c>
      <c r="C47" s="46" t="s">
        <v>85</v>
      </c>
      <c r="D47" s="50">
        <f>+'11 priedas'!F151</f>
        <v>1954.9090000000001</v>
      </c>
      <c r="E47" s="1"/>
      <c r="F47" s="1"/>
    </row>
    <row r="48" spans="1:6" ht="14.1" customHeight="1" x14ac:dyDescent="0.25">
      <c r="A48" s="1"/>
      <c r="B48" s="74">
        <v>38</v>
      </c>
      <c r="C48" s="34" t="s">
        <v>63</v>
      </c>
      <c r="D48" s="50">
        <f>+'11 priedas'!F152</f>
        <v>1464.848</v>
      </c>
      <c r="E48" s="1"/>
      <c r="F48" s="1"/>
    </row>
    <row r="49" spans="1:6" ht="14.1" customHeight="1" x14ac:dyDescent="0.25">
      <c r="A49" s="1"/>
      <c r="B49" s="74">
        <v>39</v>
      </c>
      <c r="C49" s="46" t="s">
        <v>66</v>
      </c>
      <c r="D49" s="50">
        <f>+'11 priedas'!F153</f>
        <v>472.19799999999998</v>
      </c>
      <c r="E49" s="1"/>
      <c r="F49" s="1"/>
    </row>
    <row r="50" spans="1:6" ht="15" customHeight="1" x14ac:dyDescent="0.25">
      <c r="A50" s="1"/>
      <c r="B50" s="74">
        <v>40</v>
      </c>
      <c r="C50" s="46" t="s">
        <v>67</v>
      </c>
      <c r="D50" s="50">
        <f>+'11 priedas'!F154</f>
        <v>1095.876</v>
      </c>
      <c r="E50" s="1"/>
      <c r="F50" s="1"/>
    </row>
    <row r="51" spans="1:6" s="89" customFormat="1" ht="27.6" customHeight="1" x14ac:dyDescent="0.25">
      <c r="A51" s="10"/>
      <c r="B51" s="597">
        <v>41</v>
      </c>
      <c r="C51" s="5" t="s">
        <v>87</v>
      </c>
      <c r="D51" s="177">
        <f>+'11 priedas'!F155</f>
        <v>364.78200000000004</v>
      </c>
      <c r="E51" s="10"/>
      <c r="F51" s="10"/>
    </row>
    <row r="52" spans="1:6" s="89" customFormat="1" ht="18" customHeight="1" x14ac:dyDescent="0.2">
      <c r="A52" s="10"/>
      <c r="B52" s="74">
        <v>42</v>
      </c>
      <c r="C52" s="5" t="s">
        <v>283</v>
      </c>
      <c r="D52" s="50">
        <f>+'11 priedas'!F156</f>
        <v>923.64</v>
      </c>
      <c r="E52" s="10"/>
      <c r="F52" s="10"/>
    </row>
    <row r="53" spans="1:6" ht="14.1" customHeight="1" x14ac:dyDescent="0.25">
      <c r="A53" s="1"/>
      <c r="B53" s="74">
        <v>43</v>
      </c>
      <c r="C53" s="47" t="s">
        <v>41</v>
      </c>
      <c r="D53" s="45">
        <f>SUM(D13:D52)</f>
        <v>114730.31800000001</v>
      </c>
      <c r="E53" s="1"/>
      <c r="F53" s="1"/>
    </row>
    <row r="54" spans="1:6" x14ac:dyDescent="0.25">
      <c r="A54" s="1"/>
      <c r="B54" s="1"/>
      <c r="C54" s="93"/>
      <c r="D54" s="94"/>
      <c r="E54" s="1"/>
      <c r="F54" s="1"/>
    </row>
    <row r="55" spans="1:6" x14ac:dyDescent="0.25">
      <c r="A55" s="1"/>
      <c r="B55" s="1"/>
      <c r="C55" s="1"/>
      <c r="D55" s="95"/>
      <c r="E55" s="1"/>
      <c r="F55" s="1"/>
    </row>
    <row r="56" spans="1:6" x14ac:dyDescent="0.25">
      <c r="A56" s="1"/>
      <c r="B56" s="1"/>
      <c r="C56" s="32"/>
      <c r="D56" s="1"/>
      <c r="E56" s="1"/>
      <c r="F56" s="1"/>
    </row>
    <row r="57" spans="1:6" ht="15.75" x14ac:dyDescent="0.25">
      <c r="A57" s="1"/>
      <c r="B57" s="1"/>
      <c r="C57" s="1"/>
      <c r="D57" s="13"/>
      <c r="E57" s="1"/>
      <c r="F57" s="1"/>
    </row>
  </sheetData>
  <mergeCells count="4">
    <mergeCell ref="C10:C12"/>
    <mergeCell ref="B10:B12"/>
    <mergeCell ref="D10:D12"/>
    <mergeCell ref="A7:E8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7"/>
  <sheetViews>
    <sheetView zoomScale="120" zoomScaleNormal="120" workbookViewId="0">
      <selection activeCell="G14" sqref="G14"/>
    </sheetView>
  </sheetViews>
  <sheetFormatPr defaultRowHeight="15" x14ac:dyDescent="0.25"/>
  <cols>
    <col min="1" max="1" width="3.5703125" style="1" customWidth="1"/>
    <col min="2" max="2" width="66" style="1" customWidth="1"/>
    <col min="3" max="3" width="12.42578125" style="81" customWidth="1"/>
    <col min="4" max="246" width="8.85546875" style="1"/>
    <col min="247" max="247" width="3.140625" style="1" customWidth="1"/>
    <col min="248" max="248" width="42.28515625" style="1" customWidth="1"/>
    <col min="249" max="249" width="10.5703125" style="1" customWidth="1"/>
    <col min="250" max="250" width="9" style="1" customWidth="1"/>
    <col min="251" max="251" width="11.140625" style="1" customWidth="1"/>
    <col min="252" max="252" width="9.85546875" style="1" customWidth="1"/>
    <col min="253" max="253" width="11.5703125" style="1" customWidth="1"/>
    <col min="254" max="254" width="10.85546875" style="1" customWidth="1"/>
    <col min="255" max="255" width="9.42578125" style="1" customWidth="1"/>
    <col min="256" max="256" width="8.28515625" style="1" customWidth="1"/>
    <col min="257" max="257" width="8.140625" style="1" customWidth="1"/>
    <col min="258" max="502" width="8.85546875" style="1"/>
    <col min="503" max="503" width="3.140625" style="1" customWidth="1"/>
    <col min="504" max="504" width="42.28515625" style="1" customWidth="1"/>
    <col min="505" max="505" width="10.5703125" style="1" customWidth="1"/>
    <col min="506" max="506" width="9" style="1" customWidth="1"/>
    <col min="507" max="507" width="11.140625" style="1" customWidth="1"/>
    <col min="508" max="508" width="9.85546875" style="1" customWidth="1"/>
    <col min="509" max="509" width="11.5703125" style="1" customWidth="1"/>
    <col min="510" max="510" width="10.85546875" style="1" customWidth="1"/>
    <col min="511" max="511" width="9.42578125" style="1" customWidth="1"/>
    <col min="512" max="512" width="8.28515625" style="1" customWidth="1"/>
    <col min="513" max="513" width="8.140625" style="1" customWidth="1"/>
    <col min="514" max="758" width="8.85546875" style="1"/>
    <col min="759" max="759" width="3.140625" style="1" customWidth="1"/>
    <col min="760" max="760" width="42.28515625" style="1" customWidth="1"/>
    <col min="761" max="761" width="10.5703125" style="1" customWidth="1"/>
    <col min="762" max="762" width="9" style="1" customWidth="1"/>
    <col min="763" max="763" width="11.140625" style="1" customWidth="1"/>
    <col min="764" max="764" width="9.85546875" style="1" customWidth="1"/>
    <col min="765" max="765" width="11.5703125" style="1" customWidth="1"/>
    <col min="766" max="766" width="10.85546875" style="1" customWidth="1"/>
    <col min="767" max="767" width="9.42578125" style="1" customWidth="1"/>
    <col min="768" max="768" width="8.28515625" style="1" customWidth="1"/>
    <col min="769" max="769" width="8.140625" style="1" customWidth="1"/>
    <col min="770" max="1014" width="8.85546875" style="1"/>
    <col min="1015" max="1015" width="3.140625" style="1" customWidth="1"/>
    <col min="1016" max="1016" width="42.28515625" style="1" customWidth="1"/>
    <col min="1017" max="1017" width="10.5703125" style="1" customWidth="1"/>
    <col min="1018" max="1018" width="9" style="1" customWidth="1"/>
    <col min="1019" max="1019" width="11.140625" style="1" customWidth="1"/>
    <col min="1020" max="1020" width="9.85546875" style="1" customWidth="1"/>
    <col min="1021" max="1021" width="11.5703125" style="1" customWidth="1"/>
    <col min="1022" max="1022" width="10.85546875" style="1" customWidth="1"/>
    <col min="1023" max="1023" width="9.42578125" style="1" customWidth="1"/>
    <col min="1024" max="1024" width="8.28515625" style="1" customWidth="1"/>
    <col min="1025" max="1025" width="8.140625" style="1" customWidth="1"/>
    <col min="1026" max="1270" width="8.85546875" style="1"/>
    <col min="1271" max="1271" width="3.140625" style="1" customWidth="1"/>
    <col min="1272" max="1272" width="42.28515625" style="1" customWidth="1"/>
    <col min="1273" max="1273" width="10.5703125" style="1" customWidth="1"/>
    <col min="1274" max="1274" width="9" style="1" customWidth="1"/>
    <col min="1275" max="1275" width="11.140625" style="1" customWidth="1"/>
    <col min="1276" max="1276" width="9.85546875" style="1" customWidth="1"/>
    <col min="1277" max="1277" width="11.5703125" style="1" customWidth="1"/>
    <col min="1278" max="1278" width="10.85546875" style="1" customWidth="1"/>
    <col min="1279" max="1279" width="9.42578125" style="1" customWidth="1"/>
    <col min="1280" max="1280" width="8.28515625" style="1" customWidth="1"/>
    <col min="1281" max="1281" width="8.140625" style="1" customWidth="1"/>
    <col min="1282" max="1526" width="8.85546875" style="1"/>
    <col min="1527" max="1527" width="3.140625" style="1" customWidth="1"/>
    <col min="1528" max="1528" width="42.28515625" style="1" customWidth="1"/>
    <col min="1529" max="1529" width="10.5703125" style="1" customWidth="1"/>
    <col min="1530" max="1530" width="9" style="1" customWidth="1"/>
    <col min="1531" max="1531" width="11.140625" style="1" customWidth="1"/>
    <col min="1532" max="1532" width="9.85546875" style="1" customWidth="1"/>
    <col min="1533" max="1533" width="11.5703125" style="1" customWidth="1"/>
    <col min="1534" max="1534" width="10.85546875" style="1" customWidth="1"/>
    <col min="1535" max="1535" width="9.42578125" style="1" customWidth="1"/>
    <col min="1536" max="1536" width="8.28515625" style="1" customWidth="1"/>
    <col min="1537" max="1537" width="8.140625" style="1" customWidth="1"/>
    <col min="1538" max="1782" width="8.85546875" style="1"/>
    <col min="1783" max="1783" width="3.140625" style="1" customWidth="1"/>
    <col min="1784" max="1784" width="42.28515625" style="1" customWidth="1"/>
    <col min="1785" max="1785" width="10.5703125" style="1" customWidth="1"/>
    <col min="1786" max="1786" width="9" style="1" customWidth="1"/>
    <col min="1787" max="1787" width="11.140625" style="1" customWidth="1"/>
    <col min="1788" max="1788" width="9.85546875" style="1" customWidth="1"/>
    <col min="1789" max="1789" width="11.5703125" style="1" customWidth="1"/>
    <col min="1790" max="1790" width="10.85546875" style="1" customWidth="1"/>
    <col min="1791" max="1791" width="9.42578125" style="1" customWidth="1"/>
    <col min="1792" max="1792" width="8.28515625" style="1" customWidth="1"/>
    <col min="1793" max="1793" width="8.140625" style="1" customWidth="1"/>
    <col min="1794" max="2038" width="8.85546875" style="1"/>
    <col min="2039" max="2039" width="3.140625" style="1" customWidth="1"/>
    <col min="2040" max="2040" width="42.28515625" style="1" customWidth="1"/>
    <col min="2041" max="2041" width="10.5703125" style="1" customWidth="1"/>
    <col min="2042" max="2042" width="9" style="1" customWidth="1"/>
    <col min="2043" max="2043" width="11.140625" style="1" customWidth="1"/>
    <col min="2044" max="2044" width="9.85546875" style="1" customWidth="1"/>
    <col min="2045" max="2045" width="11.5703125" style="1" customWidth="1"/>
    <col min="2046" max="2046" width="10.85546875" style="1" customWidth="1"/>
    <col min="2047" max="2047" width="9.42578125" style="1" customWidth="1"/>
    <col min="2048" max="2048" width="8.28515625" style="1" customWidth="1"/>
    <col min="2049" max="2049" width="8.140625" style="1" customWidth="1"/>
    <col min="2050" max="2294" width="8.85546875" style="1"/>
    <col min="2295" max="2295" width="3.140625" style="1" customWidth="1"/>
    <col min="2296" max="2296" width="42.28515625" style="1" customWidth="1"/>
    <col min="2297" max="2297" width="10.5703125" style="1" customWidth="1"/>
    <col min="2298" max="2298" width="9" style="1" customWidth="1"/>
    <col min="2299" max="2299" width="11.140625" style="1" customWidth="1"/>
    <col min="2300" max="2300" width="9.85546875" style="1" customWidth="1"/>
    <col min="2301" max="2301" width="11.5703125" style="1" customWidth="1"/>
    <col min="2302" max="2302" width="10.85546875" style="1" customWidth="1"/>
    <col min="2303" max="2303" width="9.42578125" style="1" customWidth="1"/>
    <col min="2304" max="2304" width="8.28515625" style="1" customWidth="1"/>
    <col min="2305" max="2305" width="8.140625" style="1" customWidth="1"/>
    <col min="2306" max="2550" width="8.85546875" style="1"/>
    <col min="2551" max="2551" width="3.140625" style="1" customWidth="1"/>
    <col min="2552" max="2552" width="42.28515625" style="1" customWidth="1"/>
    <col min="2553" max="2553" width="10.5703125" style="1" customWidth="1"/>
    <col min="2554" max="2554" width="9" style="1" customWidth="1"/>
    <col min="2555" max="2555" width="11.140625" style="1" customWidth="1"/>
    <col min="2556" max="2556" width="9.85546875" style="1" customWidth="1"/>
    <col min="2557" max="2557" width="11.5703125" style="1" customWidth="1"/>
    <col min="2558" max="2558" width="10.85546875" style="1" customWidth="1"/>
    <col min="2559" max="2559" width="9.42578125" style="1" customWidth="1"/>
    <col min="2560" max="2560" width="8.28515625" style="1" customWidth="1"/>
    <col min="2561" max="2561" width="8.140625" style="1" customWidth="1"/>
    <col min="2562" max="2806" width="8.85546875" style="1"/>
    <col min="2807" max="2807" width="3.140625" style="1" customWidth="1"/>
    <col min="2808" max="2808" width="42.28515625" style="1" customWidth="1"/>
    <col min="2809" max="2809" width="10.5703125" style="1" customWidth="1"/>
    <col min="2810" max="2810" width="9" style="1" customWidth="1"/>
    <col min="2811" max="2811" width="11.140625" style="1" customWidth="1"/>
    <col min="2812" max="2812" width="9.85546875" style="1" customWidth="1"/>
    <col min="2813" max="2813" width="11.5703125" style="1" customWidth="1"/>
    <col min="2814" max="2814" width="10.85546875" style="1" customWidth="1"/>
    <col min="2815" max="2815" width="9.42578125" style="1" customWidth="1"/>
    <col min="2816" max="2816" width="8.28515625" style="1" customWidth="1"/>
    <col min="2817" max="2817" width="8.140625" style="1" customWidth="1"/>
    <col min="2818" max="3062" width="8.85546875" style="1"/>
    <col min="3063" max="3063" width="3.140625" style="1" customWidth="1"/>
    <col min="3064" max="3064" width="42.28515625" style="1" customWidth="1"/>
    <col min="3065" max="3065" width="10.5703125" style="1" customWidth="1"/>
    <col min="3066" max="3066" width="9" style="1" customWidth="1"/>
    <col min="3067" max="3067" width="11.140625" style="1" customWidth="1"/>
    <col min="3068" max="3068" width="9.85546875" style="1" customWidth="1"/>
    <col min="3069" max="3069" width="11.5703125" style="1" customWidth="1"/>
    <col min="3070" max="3070" width="10.85546875" style="1" customWidth="1"/>
    <col min="3071" max="3071" width="9.42578125" style="1" customWidth="1"/>
    <col min="3072" max="3072" width="8.28515625" style="1" customWidth="1"/>
    <col min="3073" max="3073" width="8.140625" style="1" customWidth="1"/>
    <col min="3074" max="3318" width="8.85546875" style="1"/>
    <col min="3319" max="3319" width="3.140625" style="1" customWidth="1"/>
    <col min="3320" max="3320" width="42.28515625" style="1" customWidth="1"/>
    <col min="3321" max="3321" width="10.5703125" style="1" customWidth="1"/>
    <col min="3322" max="3322" width="9" style="1" customWidth="1"/>
    <col min="3323" max="3323" width="11.140625" style="1" customWidth="1"/>
    <col min="3324" max="3324" width="9.85546875" style="1" customWidth="1"/>
    <col min="3325" max="3325" width="11.5703125" style="1" customWidth="1"/>
    <col min="3326" max="3326" width="10.85546875" style="1" customWidth="1"/>
    <col min="3327" max="3327" width="9.42578125" style="1" customWidth="1"/>
    <col min="3328" max="3328" width="8.28515625" style="1" customWidth="1"/>
    <col min="3329" max="3329" width="8.140625" style="1" customWidth="1"/>
    <col min="3330" max="3574" width="8.85546875" style="1"/>
    <col min="3575" max="3575" width="3.140625" style="1" customWidth="1"/>
    <col min="3576" max="3576" width="42.28515625" style="1" customWidth="1"/>
    <col min="3577" max="3577" width="10.5703125" style="1" customWidth="1"/>
    <col min="3578" max="3578" width="9" style="1" customWidth="1"/>
    <col min="3579" max="3579" width="11.140625" style="1" customWidth="1"/>
    <col min="3580" max="3580" width="9.85546875" style="1" customWidth="1"/>
    <col min="3581" max="3581" width="11.5703125" style="1" customWidth="1"/>
    <col min="3582" max="3582" width="10.85546875" style="1" customWidth="1"/>
    <col min="3583" max="3583" width="9.42578125" style="1" customWidth="1"/>
    <col min="3584" max="3584" width="8.28515625" style="1" customWidth="1"/>
    <col min="3585" max="3585" width="8.140625" style="1" customWidth="1"/>
    <col min="3586" max="3830" width="8.85546875" style="1"/>
    <col min="3831" max="3831" width="3.140625" style="1" customWidth="1"/>
    <col min="3832" max="3832" width="42.28515625" style="1" customWidth="1"/>
    <col min="3833" max="3833" width="10.5703125" style="1" customWidth="1"/>
    <col min="3834" max="3834" width="9" style="1" customWidth="1"/>
    <col min="3835" max="3835" width="11.140625" style="1" customWidth="1"/>
    <col min="3836" max="3836" width="9.85546875" style="1" customWidth="1"/>
    <col min="3837" max="3837" width="11.5703125" style="1" customWidth="1"/>
    <col min="3838" max="3838" width="10.85546875" style="1" customWidth="1"/>
    <col min="3839" max="3839" width="9.42578125" style="1" customWidth="1"/>
    <col min="3840" max="3840" width="8.28515625" style="1" customWidth="1"/>
    <col min="3841" max="3841" width="8.140625" style="1" customWidth="1"/>
    <col min="3842" max="4086" width="8.85546875" style="1"/>
    <col min="4087" max="4087" width="3.140625" style="1" customWidth="1"/>
    <col min="4088" max="4088" width="42.28515625" style="1" customWidth="1"/>
    <col min="4089" max="4089" width="10.5703125" style="1" customWidth="1"/>
    <col min="4090" max="4090" width="9" style="1" customWidth="1"/>
    <col min="4091" max="4091" width="11.140625" style="1" customWidth="1"/>
    <col min="4092" max="4092" width="9.85546875" style="1" customWidth="1"/>
    <col min="4093" max="4093" width="11.5703125" style="1" customWidth="1"/>
    <col min="4094" max="4094" width="10.85546875" style="1" customWidth="1"/>
    <col min="4095" max="4095" width="9.42578125" style="1" customWidth="1"/>
    <col min="4096" max="4096" width="8.28515625" style="1" customWidth="1"/>
    <col min="4097" max="4097" width="8.140625" style="1" customWidth="1"/>
    <col min="4098" max="4342" width="8.85546875" style="1"/>
    <col min="4343" max="4343" width="3.140625" style="1" customWidth="1"/>
    <col min="4344" max="4344" width="42.28515625" style="1" customWidth="1"/>
    <col min="4345" max="4345" width="10.5703125" style="1" customWidth="1"/>
    <col min="4346" max="4346" width="9" style="1" customWidth="1"/>
    <col min="4347" max="4347" width="11.140625" style="1" customWidth="1"/>
    <col min="4348" max="4348" width="9.85546875" style="1" customWidth="1"/>
    <col min="4349" max="4349" width="11.5703125" style="1" customWidth="1"/>
    <col min="4350" max="4350" width="10.85546875" style="1" customWidth="1"/>
    <col min="4351" max="4351" width="9.42578125" style="1" customWidth="1"/>
    <col min="4352" max="4352" width="8.28515625" style="1" customWidth="1"/>
    <col min="4353" max="4353" width="8.140625" style="1" customWidth="1"/>
    <col min="4354" max="4598" width="8.85546875" style="1"/>
    <col min="4599" max="4599" width="3.140625" style="1" customWidth="1"/>
    <col min="4600" max="4600" width="42.28515625" style="1" customWidth="1"/>
    <col min="4601" max="4601" width="10.5703125" style="1" customWidth="1"/>
    <col min="4602" max="4602" width="9" style="1" customWidth="1"/>
    <col min="4603" max="4603" width="11.140625" style="1" customWidth="1"/>
    <col min="4604" max="4604" width="9.85546875" style="1" customWidth="1"/>
    <col min="4605" max="4605" width="11.5703125" style="1" customWidth="1"/>
    <col min="4606" max="4606" width="10.85546875" style="1" customWidth="1"/>
    <col min="4607" max="4607" width="9.42578125" style="1" customWidth="1"/>
    <col min="4608" max="4608" width="8.28515625" style="1" customWidth="1"/>
    <col min="4609" max="4609" width="8.140625" style="1" customWidth="1"/>
    <col min="4610" max="4854" width="8.85546875" style="1"/>
    <col min="4855" max="4855" width="3.140625" style="1" customWidth="1"/>
    <col min="4856" max="4856" width="42.28515625" style="1" customWidth="1"/>
    <col min="4857" max="4857" width="10.5703125" style="1" customWidth="1"/>
    <col min="4858" max="4858" width="9" style="1" customWidth="1"/>
    <col min="4859" max="4859" width="11.140625" style="1" customWidth="1"/>
    <col min="4860" max="4860" width="9.85546875" style="1" customWidth="1"/>
    <col min="4861" max="4861" width="11.5703125" style="1" customWidth="1"/>
    <col min="4862" max="4862" width="10.85546875" style="1" customWidth="1"/>
    <col min="4863" max="4863" width="9.42578125" style="1" customWidth="1"/>
    <col min="4864" max="4864" width="8.28515625" style="1" customWidth="1"/>
    <col min="4865" max="4865" width="8.140625" style="1" customWidth="1"/>
    <col min="4866" max="5110" width="8.85546875" style="1"/>
    <col min="5111" max="5111" width="3.140625" style="1" customWidth="1"/>
    <col min="5112" max="5112" width="42.28515625" style="1" customWidth="1"/>
    <col min="5113" max="5113" width="10.5703125" style="1" customWidth="1"/>
    <col min="5114" max="5114" width="9" style="1" customWidth="1"/>
    <col min="5115" max="5115" width="11.140625" style="1" customWidth="1"/>
    <col min="5116" max="5116" width="9.85546875" style="1" customWidth="1"/>
    <col min="5117" max="5117" width="11.5703125" style="1" customWidth="1"/>
    <col min="5118" max="5118" width="10.85546875" style="1" customWidth="1"/>
    <col min="5119" max="5119" width="9.42578125" style="1" customWidth="1"/>
    <col min="5120" max="5120" width="8.28515625" style="1" customWidth="1"/>
    <col min="5121" max="5121" width="8.140625" style="1" customWidth="1"/>
    <col min="5122" max="5366" width="8.85546875" style="1"/>
    <col min="5367" max="5367" width="3.140625" style="1" customWidth="1"/>
    <col min="5368" max="5368" width="42.28515625" style="1" customWidth="1"/>
    <col min="5369" max="5369" width="10.5703125" style="1" customWidth="1"/>
    <col min="5370" max="5370" width="9" style="1" customWidth="1"/>
    <col min="5371" max="5371" width="11.140625" style="1" customWidth="1"/>
    <col min="5372" max="5372" width="9.85546875" style="1" customWidth="1"/>
    <col min="5373" max="5373" width="11.5703125" style="1" customWidth="1"/>
    <col min="5374" max="5374" width="10.85546875" style="1" customWidth="1"/>
    <col min="5375" max="5375" width="9.42578125" style="1" customWidth="1"/>
    <col min="5376" max="5376" width="8.28515625" style="1" customWidth="1"/>
    <col min="5377" max="5377" width="8.140625" style="1" customWidth="1"/>
    <col min="5378" max="5622" width="8.85546875" style="1"/>
    <col min="5623" max="5623" width="3.140625" style="1" customWidth="1"/>
    <col min="5624" max="5624" width="42.28515625" style="1" customWidth="1"/>
    <col min="5625" max="5625" width="10.5703125" style="1" customWidth="1"/>
    <col min="5626" max="5626" width="9" style="1" customWidth="1"/>
    <col min="5627" max="5627" width="11.140625" style="1" customWidth="1"/>
    <col min="5628" max="5628" width="9.85546875" style="1" customWidth="1"/>
    <col min="5629" max="5629" width="11.5703125" style="1" customWidth="1"/>
    <col min="5630" max="5630" width="10.85546875" style="1" customWidth="1"/>
    <col min="5631" max="5631" width="9.42578125" style="1" customWidth="1"/>
    <col min="5632" max="5632" width="8.28515625" style="1" customWidth="1"/>
    <col min="5633" max="5633" width="8.140625" style="1" customWidth="1"/>
    <col min="5634" max="5878" width="8.85546875" style="1"/>
    <col min="5879" max="5879" width="3.140625" style="1" customWidth="1"/>
    <col min="5880" max="5880" width="42.28515625" style="1" customWidth="1"/>
    <col min="5881" max="5881" width="10.5703125" style="1" customWidth="1"/>
    <col min="5882" max="5882" width="9" style="1" customWidth="1"/>
    <col min="5883" max="5883" width="11.140625" style="1" customWidth="1"/>
    <col min="5884" max="5884" width="9.85546875" style="1" customWidth="1"/>
    <col min="5885" max="5885" width="11.5703125" style="1" customWidth="1"/>
    <col min="5886" max="5886" width="10.85546875" style="1" customWidth="1"/>
    <col min="5887" max="5887" width="9.42578125" style="1" customWidth="1"/>
    <col min="5888" max="5888" width="8.28515625" style="1" customWidth="1"/>
    <col min="5889" max="5889" width="8.140625" style="1" customWidth="1"/>
    <col min="5890" max="6134" width="8.85546875" style="1"/>
    <col min="6135" max="6135" width="3.140625" style="1" customWidth="1"/>
    <col min="6136" max="6136" width="42.28515625" style="1" customWidth="1"/>
    <col min="6137" max="6137" width="10.5703125" style="1" customWidth="1"/>
    <col min="6138" max="6138" width="9" style="1" customWidth="1"/>
    <col min="6139" max="6139" width="11.140625" style="1" customWidth="1"/>
    <col min="6140" max="6140" width="9.85546875" style="1" customWidth="1"/>
    <col min="6141" max="6141" width="11.5703125" style="1" customWidth="1"/>
    <col min="6142" max="6142" width="10.85546875" style="1" customWidth="1"/>
    <col min="6143" max="6143" width="9.42578125" style="1" customWidth="1"/>
    <col min="6144" max="6144" width="8.28515625" style="1" customWidth="1"/>
    <col min="6145" max="6145" width="8.140625" style="1" customWidth="1"/>
    <col min="6146" max="6390" width="8.85546875" style="1"/>
    <col min="6391" max="6391" width="3.140625" style="1" customWidth="1"/>
    <col min="6392" max="6392" width="42.28515625" style="1" customWidth="1"/>
    <col min="6393" max="6393" width="10.5703125" style="1" customWidth="1"/>
    <col min="6394" max="6394" width="9" style="1" customWidth="1"/>
    <col min="6395" max="6395" width="11.140625" style="1" customWidth="1"/>
    <col min="6396" max="6396" width="9.85546875" style="1" customWidth="1"/>
    <col min="6397" max="6397" width="11.5703125" style="1" customWidth="1"/>
    <col min="6398" max="6398" width="10.85546875" style="1" customWidth="1"/>
    <col min="6399" max="6399" width="9.42578125" style="1" customWidth="1"/>
    <col min="6400" max="6400" width="8.28515625" style="1" customWidth="1"/>
    <col min="6401" max="6401" width="8.140625" style="1" customWidth="1"/>
    <col min="6402" max="6646" width="8.85546875" style="1"/>
    <col min="6647" max="6647" width="3.140625" style="1" customWidth="1"/>
    <col min="6648" max="6648" width="42.28515625" style="1" customWidth="1"/>
    <col min="6649" max="6649" width="10.5703125" style="1" customWidth="1"/>
    <col min="6650" max="6650" width="9" style="1" customWidth="1"/>
    <col min="6651" max="6651" width="11.140625" style="1" customWidth="1"/>
    <col min="6652" max="6652" width="9.85546875" style="1" customWidth="1"/>
    <col min="6653" max="6653" width="11.5703125" style="1" customWidth="1"/>
    <col min="6654" max="6654" width="10.85546875" style="1" customWidth="1"/>
    <col min="6655" max="6655" width="9.42578125" style="1" customWidth="1"/>
    <col min="6656" max="6656" width="8.28515625" style="1" customWidth="1"/>
    <col min="6657" max="6657" width="8.140625" style="1" customWidth="1"/>
    <col min="6658" max="6902" width="8.85546875" style="1"/>
    <col min="6903" max="6903" width="3.140625" style="1" customWidth="1"/>
    <col min="6904" max="6904" width="42.28515625" style="1" customWidth="1"/>
    <col min="6905" max="6905" width="10.5703125" style="1" customWidth="1"/>
    <col min="6906" max="6906" width="9" style="1" customWidth="1"/>
    <col min="6907" max="6907" width="11.140625" style="1" customWidth="1"/>
    <col min="6908" max="6908" width="9.85546875" style="1" customWidth="1"/>
    <col min="6909" max="6909" width="11.5703125" style="1" customWidth="1"/>
    <col min="6910" max="6910" width="10.85546875" style="1" customWidth="1"/>
    <col min="6911" max="6911" width="9.42578125" style="1" customWidth="1"/>
    <col min="6912" max="6912" width="8.28515625" style="1" customWidth="1"/>
    <col min="6913" max="6913" width="8.140625" style="1" customWidth="1"/>
    <col min="6914" max="7158" width="8.85546875" style="1"/>
    <col min="7159" max="7159" width="3.140625" style="1" customWidth="1"/>
    <col min="7160" max="7160" width="42.28515625" style="1" customWidth="1"/>
    <col min="7161" max="7161" width="10.5703125" style="1" customWidth="1"/>
    <col min="7162" max="7162" width="9" style="1" customWidth="1"/>
    <col min="7163" max="7163" width="11.140625" style="1" customWidth="1"/>
    <col min="7164" max="7164" width="9.85546875" style="1" customWidth="1"/>
    <col min="7165" max="7165" width="11.5703125" style="1" customWidth="1"/>
    <col min="7166" max="7166" width="10.85546875" style="1" customWidth="1"/>
    <col min="7167" max="7167" width="9.42578125" style="1" customWidth="1"/>
    <col min="7168" max="7168" width="8.28515625" style="1" customWidth="1"/>
    <col min="7169" max="7169" width="8.140625" style="1" customWidth="1"/>
    <col min="7170" max="7414" width="8.85546875" style="1"/>
    <col min="7415" max="7415" width="3.140625" style="1" customWidth="1"/>
    <col min="7416" max="7416" width="42.28515625" style="1" customWidth="1"/>
    <col min="7417" max="7417" width="10.5703125" style="1" customWidth="1"/>
    <col min="7418" max="7418" width="9" style="1" customWidth="1"/>
    <col min="7419" max="7419" width="11.140625" style="1" customWidth="1"/>
    <col min="7420" max="7420" width="9.85546875" style="1" customWidth="1"/>
    <col min="7421" max="7421" width="11.5703125" style="1" customWidth="1"/>
    <col min="7422" max="7422" width="10.85546875" style="1" customWidth="1"/>
    <col min="7423" max="7423" width="9.42578125" style="1" customWidth="1"/>
    <col min="7424" max="7424" width="8.28515625" style="1" customWidth="1"/>
    <col min="7425" max="7425" width="8.140625" style="1" customWidth="1"/>
    <col min="7426" max="7670" width="8.85546875" style="1"/>
    <col min="7671" max="7671" width="3.140625" style="1" customWidth="1"/>
    <col min="7672" max="7672" width="42.28515625" style="1" customWidth="1"/>
    <col min="7673" max="7673" width="10.5703125" style="1" customWidth="1"/>
    <col min="7674" max="7674" width="9" style="1" customWidth="1"/>
    <col min="7675" max="7675" width="11.140625" style="1" customWidth="1"/>
    <col min="7676" max="7676" width="9.85546875" style="1" customWidth="1"/>
    <col min="7677" max="7677" width="11.5703125" style="1" customWidth="1"/>
    <col min="7678" max="7678" width="10.85546875" style="1" customWidth="1"/>
    <col min="7679" max="7679" width="9.42578125" style="1" customWidth="1"/>
    <col min="7680" max="7680" width="8.28515625" style="1" customWidth="1"/>
    <col min="7681" max="7681" width="8.140625" style="1" customWidth="1"/>
    <col min="7682" max="7926" width="8.85546875" style="1"/>
    <col min="7927" max="7927" width="3.140625" style="1" customWidth="1"/>
    <col min="7928" max="7928" width="42.28515625" style="1" customWidth="1"/>
    <col min="7929" max="7929" width="10.5703125" style="1" customWidth="1"/>
    <col min="7930" max="7930" width="9" style="1" customWidth="1"/>
    <col min="7931" max="7931" width="11.140625" style="1" customWidth="1"/>
    <col min="7932" max="7932" width="9.85546875" style="1" customWidth="1"/>
    <col min="7933" max="7933" width="11.5703125" style="1" customWidth="1"/>
    <col min="7934" max="7934" width="10.85546875" style="1" customWidth="1"/>
    <col min="7935" max="7935" width="9.42578125" style="1" customWidth="1"/>
    <col min="7936" max="7936" width="8.28515625" style="1" customWidth="1"/>
    <col min="7937" max="7937" width="8.140625" style="1" customWidth="1"/>
    <col min="7938" max="8182" width="8.85546875" style="1"/>
    <col min="8183" max="8183" width="3.140625" style="1" customWidth="1"/>
    <col min="8184" max="8184" width="42.28515625" style="1" customWidth="1"/>
    <col min="8185" max="8185" width="10.5703125" style="1" customWidth="1"/>
    <col min="8186" max="8186" width="9" style="1" customWidth="1"/>
    <col min="8187" max="8187" width="11.140625" style="1" customWidth="1"/>
    <col min="8188" max="8188" width="9.85546875" style="1" customWidth="1"/>
    <col min="8189" max="8189" width="11.5703125" style="1" customWidth="1"/>
    <col min="8190" max="8190" width="10.85546875" style="1" customWidth="1"/>
    <col min="8191" max="8191" width="9.42578125" style="1" customWidth="1"/>
    <col min="8192" max="8192" width="8.28515625" style="1" customWidth="1"/>
    <col min="8193" max="8193" width="8.140625" style="1" customWidth="1"/>
    <col min="8194" max="8438" width="8.85546875" style="1"/>
    <col min="8439" max="8439" width="3.140625" style="1" customWidth="1"/>
    <col min="8440" max="8440" width="42.28515625" style="1" customWidth="1"/>
    <col min="8441" max="8441" width="10.5703125" style="1" customWidth="1"/>
    <col min="8442" max="8442" width="9" style="1" customWidth="1"/>
    <col min="8443" max="8443" width="11.140625" style="1" customWidth="1"/>
    <col min="8444" max="8444" width="9.85546875" style="1" customWidth="1"/>
    <col min="8445" max="8445" width="11.5703125" style="1" customWidth="1"/>
    <col min="8446" max="8446" width="10.85546875" style="1" customWidth="1"/>
    <col min="8447" max="8447" width="9.42578125" style="1" customWidth="1"/>
    <col min="8448" max="8448" width="8.28515625" style="1" customWidth="1"/>
    <col min="8449" max="8449" width="8.140625" style="1" customWidth="1"/>
    <col min="8450" max="8694" width="8.85546875" style="1"/>
    <col min="8695" max="8695" width="3.140625" style="1" customWidth="1"/>
    <col min="8696" max="8696" width="42.28515625" style="1" customWidth="1"/>
    <col min="8697" max="8697" width="10.5703125" style="1" customWidth="1"/>
    <col min="8698" max="8698" width="9" style="1" customWidth="1"/>
    <col min="8699" max="8699" width="11.140625" style="1" customWidth="1"/>
    <col min="8700" max="8700" width="9.85546875" style="1" customWidth="1"/>
    <col min="8701" max="8701" width="11.5703125" style="1" customWidth="1"/>
    <col min="8702" max="8702" width="10.85546875" style="1" customWidth="1"/>
    <col min="8703" max="8703" width="9.42578125" style="1" customWidth="1"/>
    <col min="8704" max="8704" width="8.28515625" style="1" customWidth="1"/>
    <col min="8705" max="8705" width="8.140625" style="1" customWidth="1"/>
    <col min="8706" max="8950" width="8.85546875" style="1"/>
    <col min="8951" max="8951" width="3.140625" style="1" customWidth="1"/>
    <col min="8952" max="8952" width="42.28515625" style="1" customWidth="1"/>
    <col min="8953" max="8953" width="10.5703125" style="1" customWidth="1"/>
    <col min="8954" max="8954" width="9" style="1" customWidth="1"/>
    <col min="8955" max="8955" width="11.140625" style="1" customWidth="1"/>
    <col min="8956" max="8956" width="9.85546875" style="1" customWidth="1"/>
    <col min="8957" max="8957" width="11.5703125" style="1" customWidth="1"/>
    <col min="8958" max="8958" width="10.85546875" style="1" customWidth="1"/>
    <col min="8959" max="8959" width="9.42578125" style="1" customWidth="1"/>
    <col min="8960" max="8960" width="8.28515625" style="1" customWidth="1"/>
    <col min="8961" max="8961" width="8.140625" style="1" customWidth="1"/>
    <col min="8962" max="9206" width="8.85546875" style="1"/>
    <col min="9207" max="9207" width="3.140625" style="1" customWidth="1"/>
    <col min="9208" max="9208" width="42.28515625" style="1" customWidth="1"/>
    <col min="9209" max="9209" width="10.5703125" style="1" customWidth="1"/>
    <col min="9210" max="9210" width="9" style="1" customWidth="1"/>
    <col min="9211" max="9211" width="11.140625" style="1" customWidth="1"/>
    <col min="9212" max="9212" width="9.85546875" style="1" customWidth="1"/>
    <col min="9213" max="9213" width="11.5703125" style="1" customWidth="1"/>
    <col min="9214" max="9214" width="10.85546875" style="1" customWidth="1"/>
    <col min="9215" max="9215" width="9.42578125" style="1" customWidth="1"/>
    <col min="9216" max="9216" width="8.28515625" style="1" customWidth="1"/>
    <col min="9217" max="9217" width="8.140625" style="1" customWidth="1"/>
    <col min="9218" max="9462" width="8.85546875" style="1"/>
    <col min="9463" max="9463" width="3.140625" style="1" customWidth="1"/>
    <col min="9464" max="9464" width="42.28515625" style="1" customWidth="1"/>
    <col min="9465" max="9465" width="10.5703125" style="1" customWidth="1"/>
    <col min="9466" max="9466" width="9" style="1" customWidth="1"/>
    <col min="9467" max="9467" width="11.140625" style="1" customWidth="1"/>
    <col min="9468" max="9468" width="9.85546875" style="1" customWidth="1"/>
    <col min="9469" max="9469" width="11.5703125" style="1" customWidth="1"/>
    <col min="9470" max="9470" width="10.85546875" style="1" customWidth="1"/>
    <col min="9471" max="9471" width="9.42578125" style="1" customWidth="1"/>
    <col min="9472" max="9472" width="8.28515625" style="1" customWidth="1"/>
    <col min="9473" max="9473" width="8.140625" style="1" customWidth="1"/>
    <col min="9474" max="9718" width="8.85546875" style="1"/>
    <col min="9719" max="9719" width="3.140625" style="1" customWidth="1"/>
    <col min="9720" max="9720" width="42.28515625" style="1" customWidth="1"/>
    <col min="9721" max="9721" width="10.5703125" style="1" customWidth="1"/>
    <col min="9722" max="9722" width="9" style="1" customWidth="1"/>
    <col min="9723" max="9723" width="11.140625" style="1" customWidth="1"/>
    <col min="9724" max="9724" width="9.85546875" style="1" customWidth="1"/>
    <col min="9725" max="9725" width="11.5703125" style="1" customWidth="1"/>
    <col min="9726" max="9726" width="10.85546875" style="1" customWidth="1"/>
    <col min="9727" max="9727" width="9.42578125" style="1" customWidth="1"/>
    <col min="9728" max="9728" width="8.28515625" style="1" customWidth="1"/>
    <col min="9729" max="9729" width="8.140625" style="1" customWidth="1"/>
    <col min="9730" max="9974" width="8.85546875" style="1"/>
    <col min="9975" max="9975" width="3.140625" style="1" customWidth="1"/>
    <col min="9976" max="9976" width="42.28515625" style="1" customWidth="1"/>
    <col min="9977" max="9977" width="10.5703125" style="1" customWidth="1"/>
    <col min="9978" max="9978" width="9" style="1" customWidth="1"/>
    <col min="9979" max="9979" width="11.140625" style="1" customWidth="1"/>
    <col min="9980" max="9980" width="9.85546875" style="1" customWidth="1"/>
    <col min="9981" max="9981" width="11.5703125" style="1" customWidth="1"/>
    <col min="9982" max="9982" width="10.85546875" style="1" customWidth="1"/>
    <col min="9983" max="9983" width="9.42578125" style="1" customWidth="1"/>
    <col min="9984" max="9984" width="8.28515625" style="1" customWidth="1"/>
    <col min="9985" max="9985" width="8.140625" style="1" customWidth="1"/>
    <col min="9986" max="10230" width="8.85546875" style="1"/>
    <col min="10231" max="10231" width="3.140625" style="1" customWidth="1"/>
    <col min="10232" max="10232" width="42.28515625" style="1" customWidth="1"/>
    <col min="10233" max="10233" width="10.5703125" style="1" customWidth="1"/>
    <col min="10234" max="10234" width="9" style="1" customWidth="1"/>
    <col min="10235" max="10235" width="11.140625" style="1" customWidth="1"/>
    <col min="10236" max="10236" width="9.85546875" style="1" customWidth="1"/>
    <col min="10237" max="10237" width="11.5703125" style="1" customWidth="1"/>
    <col min="10238" max="10238" width="10.85546875" style="1" customWidth="1"/>
    <col min="10239" max="10239" width="9.42578125" style="1" customWidth="1"/>
    <col min="10240" max="10240" width="8.28515625" style="1" customWidth="1"/>
    <col min="10241" max="10241" width="8.140625" style="1" customWidth="1"/>
    <col min="10242" max="10486" width="8.85546875" style="1"/>
    <col min="10487" max="10487" width="3.140625" style="1" customWidth="1"/>
    <col min="10488" max="10488" width="42.28515625" style="1" customWidth="1"/>
    <col min="10489" max="10489" width="10.5703125" style="1" customWidth="1"/>
    <col min="10490" max="10490" width="9" style="1" customWidth="1"/>
    <col min="10491" max="10491" width="11.140625" style="1" customWidth="1"/>
    <col min="10492" max="10492" width="9.85546875" style="1" customWidth="1"/>
    <col min="10493" max="10493" width="11.5703125" style="1" customWidth="1"/>
    <col min="10494" max="10494" width="10.85546875" style="1" customWidth="1"/>
    <col min="10495" max="10495" width="9.42578125" style="1" customWidth="1"/>
    <col min="10496" max="10496" width="8.28515625" style="1" customWidth="1"/>
    <col min="10497" max="10497" width="8.140625" style="1" customWidth="1"/>
    <col min="10498" max="10742" width="8.85546875" style="1"/>
    <col min="10743" max="10743" width="3.140625" style="1" customWidth="1"/>
    <col min="10744" max="10744" width="42.28515625" style="1" customWidth="1"/>
    <col min="10745" max="10745" width="10.5703125" style="1" customWidth="1"/>
    <col min="10746" max="10746" width="9" style="1" customWidth="1"/>
    <col min="10747" max="10747" width="11.140625" style="1" customWidth="1"/>
    <col min="10748" max="10748" width="9.85546875" style="1" customWidth="1"/>
    <col min="10749" max="10749" width="11.5703125" style="1" customWidth="1"/>
    <col min="10750" max="10750" width="10.85546875" style="1" customWidth="1"/>
    <col min="10751" max="10751" width="9.42578125" style="1" customWidth="1"/>
    <col min="10752" max="10752" width="8.28515625" style="1" customWidth="1"/>
    <col min="10753" max="10753" width="8.140625" style="1" customWidth="1"/>
    <col min="10754" max="10998" width="8.85546875" style="1"/>
    <col min="10999" max="10999" width="3.140625" style="1" customWidth="1"/>
    <col min="11000" max="11000" width="42.28515625" style="1" customWidth="1"/>
    <col min="11001" max="11001" width="10.5703125" style="1" customWidth="1"/>
    <col min="11002" max="11002" width="9" style="1" customWidth="1"/>
    <col min="11003" max="11003" width="11.140625" style="1" customWidth="1"/>
    <col min="11004" max="11004" width="9.85546875" style="1" customWidth="1"/>
    <col min="11005" max="11005" width="11.5703125" style="1" customWidth="1"/>
    <col min="11006" max="11006" width="10.85546875" style="1" customWidth="1"/>
    <col min="11007" max="11007" width="9.42578125" style="1" customWidth="1"/>
    <col min="11008" max="11008" width="8.28515625" style="1" customWidth="1"/>
    <col min="11009" max="11009" width="8.140625" style="1" customWidth="1"/>
    <col min="11010" max="11254" width="8.85546875" style="1"/>
    <col min="11255" max="11255" width="3.140625" style="1" customWidth="1"/>
    <col min="11256" max="11256" width="42.28515625" style="1" customWidth="1"/>
    <col min="11257" max="11257" width="10.5703125" style="1" customWidth="1"/>
    <col min="11258" max="11258" width="9" style="1" customWidth="1"/>
    <col min="11259" max="11259" width="11.140625" style="1" customWidth="1"/>
    <col min="11260" max="11260" width="9.85546875" style="1" customWidth="1"/>
    <col min="11261" max="11261" width="11.5703125" style="1" customWidth="1"/>
    <col min="11262" max="11262" width="10.85546875" style="1" customWidth="1"/>
    <col min="11263" max="11263" width="9.42578125" style="1" customWidth="1"/>
    <col min="11264" max="11264" width="8.28515625" style="1" customWidth="1"/>
    <col min="11265" max="11265" width="8.140625" style="1" customWidth="1"/>
    <col min="11266" max="11510" width="8.85546875" style="1"/>
    <col min="11511" max="11511" width="3.140625" style="1" customWidth="1"/>
    <col min="11512" max="11512" width="42.28515625" style="1" customWidth="1"/>
    <col min="11513" max="11513" width="10.5703125" style="1" customWidth="1"/>
    <col min="11514" max="11514" width="9" style="1" customWidth="1"/>
    <col min="11515" max="11515" width="11.140625" style="1" customWidth="1"/>
    <col min="11516" max="11516" width="9.85546875" style="1" customWidth="1"/>
    <col min="11517" max="11517" width="11.5703125" style="1" customWidth="1"/>
    <col min="11518" max="11518" width="10.85546875" style="1" customWidth="1"/>
    <col min="11519" max="11519" width="9.42578125" style="1" customWidth="1"/>
    <col min="11520" max="11520" width="8.28515625" style="1" customWidth="1"/>
    <col min="11521" max="11521" width="8.140625" style="1" customWidth="1"/>
    <col min="11522" max="11766" width="8.85546875" style="1"/>
    <col min="11767" max="11767" width="3.140625" style="1" customWidth="1"/>
    <col min="11768" max="11768" width="42.28515625" style="1" customWidth="1"/>
    <col min="11769" max="11769" width="10.5703125" style="1" customWidth="1"/>
    <col min="11770" max="11770" width="9" style="1" customWidth="1"/>
    <col min="11771" max="11771" width="11.140625" style="1" customWidth="1"/>
    <col min="11772" max="11772" width="9.85546875" style="1" customWidth="1"/>
    <col min="11773" max="11773" width="11.5703125" style="1" customWidth="1"/>
    <col min="11774" max="11774" width="10.85546875" style="1" customWidth="1"/>
    <col min="11775" max="11775" width="9.42578125" style="1" customWidth="1"/>
    <col min="11776" max="11776" width="8.28515625" style="1" customWidth="1"/>
    <col min="11777" max="11777" width="8.140625" style="1" customWidth="1"/>
    <col min="11778" max="12022" width="8.85546875" style="1"/>
    <col min="12023" max="12023" width="3.140625" style="1" customWidth="1"/>
    <col min="12024" max="12024" width="42.28515625" style="1" customWidth="1"/>
    <col min="12025" max="12025" width="10.5703125" style="1" customWidth="1"/>
    <col min="12026" max="12026" width="9" style="1" customWidth="1"/>
    <col min="12027" max="12027" width="11.140625" style="1" customWidth="1"/>
    <col min="12028" max="12028" width="9.85546875" style="1" customWidth="1"/>
    <col min="12029" max="12029" width="11.5703125" style="1" customWidth="1"/>
    <col min="12030" max="12030" width="10.85546875" style="1" customWidth="1"/>
    <col min="12031" max="12031" width="9.42578125" style="1" customWidth="1"/>
    <col min="12032" max="12032" width="8.28515625" style="1" customWidth="1"/>
    <col min="12033" max="12033" width="8.140625" style="1" customWidth="1"/>
    <col min="12034" max="12278" width="8.85546875" style="1"/>
    <col min="12279" max="12279" width="3.140625" style="1" customWidth="1"/>
    <col min="12280" max="12280" width="42.28515625" style="1" customWidth="1"/>
    <col min="12281" max="12281" width="10.5703125" style="1" customWidth="1"/>
    <col min="12282" max="12282" width="9" style="1" customWidth="1"/>
    <col min="12283" max="12283" width="11.140625" style="1" customWidth="1"/>
    <col min="12284" max="12284" width="9.85546875" style="1" customWidth="1"/>
    <col min="12285" max="12285" width="11.5703125" style="1" customWidth="1"/>
    <col min="12286" max="12286" width="10.85546875" style="1" customWidth="1"/>
    <col min="12287" max="12287" width="9.42578125" style="1" customWidth="1"/>
    <col min="12288" max="12288" width="8.28515625" style="1" customWidth="1"/>
    <col min="12289" max="12289" width="8.140625" style="1" customWidth="1"/>
    <col min="12290" max="12534" width="8.85546875" style="1"/>
    <col min="12535" max="12535" width="3.140625" style="1" customWidth="1"/>
    <col min="12536" max="12536" width="42.28515625" style="1" customWidth="1"/>
    <col min="12537" max="12537" width="10.5703125" style="1" customWidth="1"/>
    <col min="12538" max="12538" width="9" style="1" customWidth="1"/>
    <col min="12539" max="12539" width="11.140625" style="1" customWidth="1"/>
    <col min="12540" max="12540" width="9.85546875" style="1" customWidth="1"/>
    <col min="12541" max="12541" width="11.5703125" style="1" customWidth="1"/>
    <col min="12542" max="12542" width="10.85546875" style="1" customWidth="1"/>
    <col min="12543" max="12543" width="9.42578125" style="1" customWidth="1"/>
    <col min="12544" max="12544" width="8.28515625" style="1" customWidth="1"/>
    <col min="12545" max="12545" width="8.140625" style="1" customWidth="1"/>
    <col min="12546" max="12790" width="8.85546875" style="1"/>
    <col min="12791" max="12791" width="3.140625" style="1" customWidth="1"/>
    <col min="12792" max="12792" width="42.28515625" style="1" customWidth="1"/>
    <col min="12793" max="12793" width="10.5703125" style="1" customWidth="1"/>
    <col min="12794" max="12794" width="9" style="1" customWidth="1"/>
    <col min="12795" max="12795" width="11.140625" style="1" customWidth="1"/>
    <col min="12796" max="12796" width="9.85546875" style="1" customWidth="1"/>
    <col min="12797" max="12797" width="11.5703125" style="1" customWidth="1"/>
    <col min="12798" max="12798" width="10.85546875" style="1" customWidth="1"/>
    <col min="12799" max="12799" width="9.42578125" style="1" customWidth="1"/>
    <col min="12800" max="12800" width="8.28515625" style="1" customWidth="1"/>
    <col min="12801" max="12801" width="8.140625" style="1" customWidth="1"/>
    <col min="12802" max="13046" width="8.85546875" style="1"/>
    <col min="13047" max="13047" width="3.140625" style="1" customWidth="1"/>
    <col min="13048" max="13048" width="42.28515625" style="1" customWidth="1"/>
    <col min="13049" max="13049" width="10.5703125" style="1" customWidth="1"/>
    <col min="13050" max="13050" width="9" style="1" customWidth="1"/>
    <col min="13051" max="13051" width="11.140625" style="1" customWidth="1"/>
    <col min="13052" max="13052" width="9.85546875" style="1" customWidth="1"/>
    <col min="13053" max="13053" width="11.5703125" style="1" customWidth="1"/>
    <col min="13054" max="13054" width="10.85546875" style="1" customWidth="1"/>
    <col min="13055" max="13055" width="9.42578125" style="1" customWidth="1"/>
    <col min="13056" max="13056" width="8.28515625" style="1" customWidth="1"/>
    <col min="13057" max="13057" width="8.140625" style="1" customWidth="1"/>
    <col min="13058" max="13302" width="8.85546875" style="1"/>
    <col min="13303" max="13303" width="3.140625" style="1" customWidth="1"/>
    <col min="13304" max="13304" width="42.28515625" style="1" customWidth="1"/>
    <col min="13305" max="13305" width="10.5703125" style="1" customWidth="1"/>
    <col min="13306" max="13306" width="9" style="1" customWidth="1"/>
    <col min="13307" max="13307" width="11.140625" style="1" customWidth="1"/>
    <col min="13308" max="13308" width="9.85546875" style="1" customWidth="1"/>
    <col min="13309" max="13309" width="11.5703125" style="1" customWidth="1"/>
    <col min="13310" max="13310" width="10.85546875" style="1" customWidth="1"/>
    <col min="13311" max="13311" width="9.42578125" style="1" customWidth="1"/>
    <col min="13312" max="13312" width="8.28515625" style="1" customWidth="1"/>
    <col min="13313" max="13313" width="8.140625" style="1" customWidth="1"/>
    <col min="13314" max="13558" width="8.85546875" style="1"/>
    <col min="13559" max="13559" width="3.140625" style="1" customWidth="1"/>
    <col min="13560" max="13560" width="42.28515625" style="1" customWidth="1"/>
    <col min="13561" max="13561" width="10.5703125" style="1" customWidth="1"/>
    <col min="13562" max="13562" width="9" style="1" customWidth="1"/>
    <col min="13563" max="13563" width="11.140625" style="1" customWidth="1"/>
    <col min="13564" max="13564" width="9.85546875" style="1" customWidth="1"/>
    <col min="13565" max="13565" width="11.5703125" style="1" customWidth="1"/>
    <col min="13566" max="13566" width="10.85546875" style="1" customWidth="1"/>
    <col min="13567" max="13567" width="9.42578125" style="1" customWidth="1"/>
    <col min="13568" max="13568" width="8.28515625" style="1" customWidth="1"/>
    <col min="13569" max="13569" width="8.140625" style="1" customWidth="1"/>
    <col min="13570" max="13814" width="8.85546875" style="1"/>
    <col min="13815" max="13815" width="3.140625" style="1" customWidth="1"/>
    <col min="13816" max="13816" width="42.28515625" style="1" customWidth="1"/>
    <col min="13817" max="13817" width="10.5703125" style="1" customWidth="1"/>
    <col min="13818" max="13818" width="9" style="1" customWidth="1"/>
    <col min="13819" max="13819" width="11.140625" style="1" customWidth="1"/>
    <col min="13820" max="13820" width="9.85546875" style="1" customWidth="1"/>
    <col min="13821" max="13821" width="11.5703125" style="1" customWidth="1"/>
    <col min="13822" max="13822" width="10.85546875" style="1" customWidth="1"/>
    <col min="13823" max="13823" width="9.42578125" style="1" customWidth="1"/>
    <col min="13824" max="13824" width="8.28515625" style="1" customWidth="1"/>
    <col min="13825" max="13825" width="8.140625" style="1" customWidth="1"/>
    <col min="13826" max="14070" width="8.85546875" style="1"/>
    <col min="14071" max="14071" width="3.140625" style="1" customWidth="1"/>
    <col min="14072" max="14072" width="42.28515625" style="1" customWidth="1"/>
    <col min="14073" max="14073" width="10.5703125" style="1" customWidth="1"/>
    <col min="14074" max="14074" width="9" style="1" customWidth="1"/>
    <col min="14075" max="14075" width="11.140625" style="1" customWidth="1"/>
    <col min="14076" max="14076" width="9.85546875" style="1" customWidth="1"/>
    <col min="14077" max="14077" width="11.5703125" style="1" customWidth="1"/>
    <col min="14078" max="14078" width="10.85546875" style="1" customWidth="1"/>
    <col min="14079" max="14079" width="9.42578125" style="1" customWidth="1"/>
    <col min="14080" max="14080" width="8.28515625" style="1" customWidth="1"/>
    <col min="14081" max="14081" width="8.140625" style="1" customWidth="1"/>
    <col min="14082" max="14326" width="8.85546875" style="1"/>
    <col min="14327" max="14327" width="3.140625" style="1" customWidth="1"/>
    <col min="14328" max="14328" width="42.28515625" style="1" customWidth="1"/>
    <col min="14329" max="14329" width="10.5703125" style="1" customWidth="1"/>
    <col min="14330" max="14330" width="9" style="1" customWidth="1"/>
    <col min="14331" max="14331" width="11.140625" style="1" customWidth="1"/>
    <col min="14332" max="14332" width="9.85546875" style="1" customWidth="1"/>
    <col min="14333" max="14333" width="11.5703125" style="1" customWidth="1"/>
    <col min="14334" max="14334" width="10.85546875" style="1" customWidth="1"/>
    <col min="14335" max="14335" width="9.42578125" style="1" customWidth="1"/>
    <col min="14336" max="14336" width="8.28515625" style="1" customWidth="1"/>
    <col min="14337" max="14337" width="8.140625" style="1" customWidth="1"/>
    <col min="14338" max="14582" width="8.85546875" style="1"/>
    <col min="14583" max="14583" width="3.140625" style="1" customWidth="1"/>
    <col min="14584" max="14584" width="42.28515625" style="1" customWidth="1"/>
    <col min="14585" max="14585" width="10.5703125" style="1" customWidth="1"/>
    <col min="14586" max="14586" width="9" style="1" customWidth="1"/>
    <col min="14587" max="14587" width="11.140625" style="1" customWidth="1"/>
    <col min="14588" max="14588" width="9.85546875" style="1" customWidth="1"/>
    <col min="14589" max="14589" width="11.5703125" style="1" customWidth="1"/>
    <col min="14590" max="14590" width="10.85546875" style="1" customWidth="1"/>
    <col min="14591" max="14591" width="9.42578125" style="1" customWidth="1"/>
    <col min="14592" max="14592" width="8.28515625" style="1" customWidth="1"/>
    <col min="14593" max="14593" width="8.140625" style="1" customWidth="1"/>
    <col min="14594" max="14838" width="8.85546875" style="1"/>
    <col min="14839" max="14839" width="3.140625" style="1" customWidth="1"/>
    <col min="14840" max="14840" width="42.28515625" style="1" customWidth="1"/>
    <col min="14841" max="14841" width="10.5703125" style="1" customWidth="1"/>
    <col min="14842" max="14842" width="9" style="1" customWidth="1"/>
    <col min="14843" max="14843" width="11.140625" style="1" customWidth="1"/>
    <col min="14844" max="14844" width="9.85546875" style="1" customWidth="1"/>
    <col min="14845" max="14845" width="11.5703125" style="1" customWidth="1"/>
    <col min="14846" max="14846" width="10.85546875" style="1" customWidth="1"/>
    <col min="14847" max="14847" width="9.42578125" style="1" customWidth="1"/>
    <col min="14848" max="14848" width="8.28515625" style="1" customWidth="1"/>
    <col min="14849" max="14849" width="8.140625" style="1" customWidth="1"/>
    <col min="14850" max="15094" width="8.85546875" style="1"/>
    <col min="15095" max="15095" width="3.140625" style="1" customWidth="1"/>
    <col min="15096" max="15096" width="42.28515625" style="1" customWidth="1"/>
    <col min="15097" max="15097" width="10.5703125" style="1" customWidth="1"/>
    <col min="15098" max="15098" width="9" style="1" customWidth="1"/>
    <col min="15099" max="15099" width="11.140625" style="1" customWidth="1"/>
    <col min="15100" max="15100" width="9.85546875" style="1" customWidth="1"/>
    <col min="15101" max="15101" width="11.5703125" style="1" customWidth="1"/>
    <col min="15102" max="15102" width="10.85546875" style="1" customWidth="1"/>
    <col min="15103" max="15103" width="9.42578125" style="1" customWidth="1"/>
    <col min="15104" max="15104" width="8.28515625" style="1" customWidth="1"/>
    <col min="15105" max="15105" width="8.140625" style="1" customWidth="1"/>
    <col min="15106" max="15350" width="8.85546875" style="1"/>
    <col min="15351" max="15351" width="3.140625" style="1" customWidth="1"/>
    <col min="15352" max="15352" width="42.28515625" style="1" customWidth="1"/>
    <col min="15353" max="15353" width="10.5703125" style="1" customWidth="1"/>
    <col min="15354" max="15354" width="9" style="1" customWidth="1"/>
    <col min="15355" max="15355" width="11.140625" style="1" customWidth="1"/>
    <col min="15356" max="15356" width="9.85546875" style="1" customWidth="1"/>
    <col min="15357" max="15357" width="11.5703125" style="1" customWidth="1"/>
    <col min="15358" max="15358" width="10.85546875" style="1" customWidth="1"/>
    <col min="15359" max="15359" width="9.42578125" style="1" customWidth="1"/>
    <col min="15360" max="15360" width="8.28515625" style="1" customWidth="1"/>
    <col min="15361" max="15361" width="8.140625" style="1" customWidth="1"/>
    <col min="15362" max="15606" width="8.85546875" style="1"/>
    <col min="15607" max="15607" width="3.140625" style="1" customWidth="1"/>
    <col min="15608" max="15608" width="42.28515625" style="1" customWidth="1"/>
    <col min="15609" max="15609" width="10.5703125" style="1" customWidth="1"/>
    <col min="15610" max="15610" width="9" style="1" customWidth="1"/>
    <col min="15611" max="15611" width="11.140625" style="1" customWidth="1"/>
    <col min="15612" max="15612" width="9.85546875" style="1" customWidth="1"/>
    <col min="15613" max="15613" width="11.5703125" style="1" customWidth="1"/>
    <col min="15614" max="15614" width="10.85546875" style="1" customWidth="1"/>
    <col min="15615" max="15615" width="9.42578125" style="1" customWidth="1"/>
    <col min="15616" max="15616" width="8.28515625" style="1" customWidth="1"/>
    <col min="15617" max="15617" width="8.140625" style="1" customWidth="1"/>
    <col min="15618" max="15862" width="8.85546875" style="1"/>
    <col min="15863" max="15863" width="3.140625" style="1" customWidth="1"/>
    <col min="15864" max="15864" width="42.28515625" style="1" customWidth="1"/>
    <col min="15865" max="15865" width="10.5703125" style="1" customWidth="1"/>
    <col min="15866" max="15866" width="9" style="1" customWidth="1"/>
    <col min="15867" max="15867" width="11.140625" style="1" customWidth="1"/>
    <col min="15868" max="15868" width="9.85546875" style="1" customWidth="1"/>
    <col min="15869" max="15869" width="11.5703125" style="1" customWidth="1"/>
    <col min="15870" max="15870" width="10.85546875" style="1" customWidth="1"/>
    <col min="15871" max="15871" width="9.42578125" style="1" customWidth="1"/>
    <col min="15872" max="15872" width="8.28515625" style="1" customWidth="1"/>
    <col min="15873" max="15873" width="8.140625" style="1" customWidth="1"/>
    <col min="15874" max="16118" width="8.85546875" style="1"/>
    <col min="16119" max="16119" width="3.140625" style="1" customWidth="1"/>
    <col min="16120" max="16120" width="42.28515625" style="1" customWidth="1"/>
    <col min="16121" max="16121" width="10.5703125" style="1" customWidth="1"/>
    <col min="16122" max="16122" width="9" style="1" customWidth="1"/>
    <col min="16123" max="16123" width="11.140625" style="1" customWidth="1"/>
    <col min="16124" max="16124" width="9.85546875" style="1" customWidth="1"/>
    <col min="16125" max="16125" width="11.5703125" style="1" customWidth="1"/>
    <col min="16126" max="16126" width="10.85546875" style="1" customWidth="1"/>
    <col min="16127" max="16127" width="9.42578125" style="1" customWidth="1"/>
    <col min="16128" max="16128" width="8.28515625" style="1" customWidth="1"/>
    <col min="16129" max="16129" width="8.140625" style="1" customWidth="1"/>
    <col min="16130" max="16374" width="8.85546875" style="1"/>
    <col min="16375" max="16384" width="8.85546875" style="1" customWidth="1"/>
  </cols>
  <sheetData>
    <row r="1" spans="1:3" x14ac:dyDescent="0.25">
      <c r="C1" s="26" t="s">
        <v>0</v>
      </c>
    </row>
    <row r="2" spans="1:3" x14ac:dyDescent="0.25">
      <c r="C2" s="26" t="s">
        <v>391</v>
      </c>
    </row>
    <row r="3" spans="1:3" x14ac:dyDescent="0.25">
      <c r="C3" s="26" t="s">
        <v>366</v>
      </c>
    </row>
    <row r="4" spans="1:3" x14ac:dyDescent="0.25">
      <c r="C4" s="26" t="s">
        <v>176</v>
      </c>
    </row>
    <row r="5" spans="1:3" x14ac:dyDescent="0.25">
      <c r="C5" s="111"/>
    </row>
    <row r="6" spans="1:3" ht="15.75" x14ac:dyDescent="0.25">
      <c r="A6" s="499" t="s">
        <v>392</v>
      </c>
      <c r="B6" s="499"/>
      <c r="C6" s="499"/>
    </row>
    <row r="7" spans="1:3" ht="14.25" customHeight="1" x14ac:dyDescent="0.25">
      <c r="A7" s="499" t="s">
        <v>177</v>
      </c>
      <c r="B7" s="499"/>
      <c r="C7" s="499"/>
    </row>
    <row r="8" spans="1:3" ht="12" customHeight="1" x14ac:dyDescent="0.25">
      <c r="A8" s="4"/>
      <c r="B8" s="30"/>
      <c r="C8" s="112"/>
    </row>
    <row r="9" spans="1:3" x14ac:dyDescent="0.25">
      <c r="A9" s="44"/>
      <c r="B9" s="44"/>
      <c r="C9" s="43" t="s">
        <v>1</v>
      </c>
    </row>
    <row r="10" spans="1:3" ht="12" customHeight="1" x14ac:dyDescent="0.25">
      <c r="A10" s="500" t="s">
        <v>2</v>
      </c>
      <c r="B10" s="501" t="s">
        <v>57</v>
      </c>
      <c r="C10" s="502" t="s">
        <v>58</v>
      </c>
    </row>
    <row r="11" spans="1:3" ht="12" customHeight="1" x14ac:dyDescent="0.25">
      <c r="A11" s="500"/>
      <c r="B11" s="501"/>
      <c r="C11" s="502"/>
    </row>
    <row r="12" spans="1:3" ht="24.75" customHeight="1" x14ac:dyDescent="0.25">
      <c r="A12" s="500"/>
      <c r="B12" s="501"/>
      <c r="C12" s="502"/>
    </row>
    <row r="13" spans="1:3" ht="14.1" customHeight="1" x14ac:dyDescent="0.25">
      <c r="A13" s="282">
        <v>1</v>
      </c>
      <c r="B13" s="498" t="s">
        <v>42</v>
      </c>
      <c r="C13" s="498"/>
    </row>
    <row r="14" spans="1:3" ht="14.1" customHeight="1" x14ac:dyDescent="0.25">
      <c r="A14" s="282">
        <f>+A13+1</f>
        <v>2</v>
      </c>
      <c r="B14" s="283" t="s">
        <v>60</v>
      </c>
      <c r="C14" s="45">
        <f>C15+C16+C19+C21+C33+C43+C45+C20+C18+C36+C42+C39+C44+C24+C17+C46+C22+C23+C34+C38+C37+C35+C40+C41</f>
        <v>16841.400000000001</v>
      </c>
    </row>
    <row r="15" spans="1:3" ht="15" customHeight="1" x14ac:dyDescent="0.25">
      <c r="A15" s="282">
        <f t="shared" ref="A15:A66" si="0">+A14+1</f>
        <v>3</v>
      </c>
      <c r="B15" s="284" t="s">
        <v>91</v>
      </c>
      <c r="C15" s="285">
        <v>9232.2000000000007</v>
      </c>
    </row>
    <row r="16" spans="1:3" ht="14.1" customHeight="1" x14ac:dyDescent="0.25">
      <c r="A16" s="282">
        <f t="shared" si="0"/>
        <v>4</v>
      </c>
      <c r="B16" s="284" t="s">
        <v>393</v>
      </c>
      <c r="C16" s="285">
        <v>1553.9</v>
      </c>
    </row>
    <row r="17" spans="1:3" ht="14.1" customHeight="1" x14ac:dyDescent="0.25">
      <c r="A17" s="282">
        <f t="shared" si="0"/>
        <v>5</v>
      </c>
      <c r="B17" s="284" t="s">
        <v>139</v>
      </c>
      <c r="C17" s="285">
        <v>9</v>
      </c>
    </row>
    <row r="18" spans="1:3" ht="14.1" customHeight="1" x14ac:dyDescent="0.25">
      <c r="A18" s="282">
        <f t="shared" si="0"/>
        <v>6</v>
      </c>
      <c r="B18" s="286" t="s">
        <v>92</v>
      </c>
      <c r="C18" s="285">
        <v>807.8</v>
      </c>
    </row>
    <row r="19" spans="1:3" ht="14.1" customHeight="1" x14ac:dyDescent="0.25">
      <c r="A19" s="282">
        <f t="shared" ref="A19" si="1">+A18+1</f>
        <v>7</v>
      </c>
      <c r="B19" s="283" t="s">
        <v>93</v>
      </c>
      <c r="C19" s="285">
        <v>29</v>
      </c>
    </row>
    <row r="20" spans="1:3" ht="15.75" customHeight="1" x14ac:dyDescent="0.25">
      <c r="A20" s="282">
        <f t="shared" si="0"/>
        <v>8</v>
      </c>
      <c r="B20" s="287" t="s">
        <v>94</v>
      </c>
      <c r="C20" s="285">
        <v>50</v>
      </c>
    </row>
    <row r="21" spans="1:3" s="10" customFormat="1" ht="25.5" customHeight="1" x14ac:dyDescent="0.2">
      <c r="A21" s="282">
        <f t="shared" si="0"/>
        <v>9</v>
      </c>
      <c r="B21" s="288" t="s">
        <v>271</v>
      </c>
      <c r="C21" s="65">
        <v>560</v>
      </c>
    </row>
    <row r="22" spans="1:3" s="10" customFormat="1" ht="15.75" customHeight="1" x14ac:dyDescent="0.2">
      <c r="A22" s="282">
        <f t="shared" si="0"/>
        <v>10</v>
      </c>
      <c r="B22" s="288" t="s">
        <v>205</v>
      </c>
      <c r="C22" s="65">
        <v>700</v>
      </c>
    </row>
    <row r="23" spans="1:3" s="10" customFormat="1" ht="15.75" customHeight="1" x14ac:dyDescent="0.2">
      <c r="A23" s="282">
        <f t="shared" si="0"/>
        <v>11</v>
      </c>
      <c r="B23" s="288" t="s">
        <v>284</v>
      </c>
      <c r="C23" s="65">
        <v>75</v>
      </c>
    </row>
    <row r="24" spans="1:3" ht="15" customHeight="1" x14ac:dyDescent="0.25">
      <c r="A24" s="282">
        <f t="shared" si="0"/>
        <v>12</v>
      </c>
      <c r="B24" s="289" t="s">
        <v>134</v>
      </c>
      <c r="C24" s="285">
        <f>C25+C26+C27+C28+C29+C30+C31+C32</f>
        <v>250.39999999999998</v>
      </c>
    </row>
    <row r="25" spans="1:3" ht="16.5" customHeight="1" x14ac:dyDescent="0.25">
      <c r="A25" s="282">
        <f t="shared" si="0"/>
        <v>13</v>
      </c>
      <c r="B25" s="46" t="s">
        <v>46</v>
      </c>
      <c r="C25" s="37">
        <v>16.3</v>
      </c>
    </row>
    <row r="26" spans="1:3" ht="15.75" customHeight="1" x14ac:dyDescent="0.25">
      <c r="A26" s="282">
        <f t="shared" si="0"/>
        <v>14</v>
      </c>
      <c r="B26" s="46" t="s">
        <v>47</v>
      </c>
      <c r="C26" s="37">
        <v>5.0999999999999996</v>
      </c>
    </row>
    <row r="27" spans="1:3" ht="15.75" customHeight="1" x14ac:dyDescent="0.25">
      <c r="A27" s="282">
        <f t="shared" si="0"/>
        <v>15</v>
      </c>
      <c r="B27" s="46" t="s">
        <v>44</v>
      </c>
      <c r="C27" s="37">
        <v>97.3</v>
      </c>
    </row>
    <row r="28" spans="1:3" ht="18" customHeight="1" x14ac:dyDescent="0.25">
      <c r="A28" s="282">
        <f t="shared" si="0"/>
        <v>16</v>
      </c>
      <c r="B28" s="46" t="s">
        <v>48</v>
      </c>
      <c r="C28" s="37">
        <v>12.5</v>
      </c>
    </row>
    <row r="29" spans="1:3" ht="15" customHeight="1" x14ac:dyDescent="0.25">
      <c r="A29" s="282">
        <f t="shared" si="0"/>
        <v>17</v>
      </c>
      <c r="B29" s="46" t="s">
        <v>49</v>
      </c>
      <c r="C29" s="37">
        <v>9.9</v>
      </c>
    </row>
    <row r="30" spans="1:3" ht="15.75" customHeight="1" x14ac:dyDescent="0.25">
      <c r="A30" s="282">
        <f t="shared" si="0"/>
        <v>18</v>
      </c>
      <c r="B30" s="46" t="s">
        <v>50</v>
      </c>
      <c r="C30" s="37">
        <v>25.2</v>
      </c>
    </row>
    <row r="31" spans="1:3" ht="14.45" customHeight="1" x14ac:dyDescent="0.25">
      <c r="A31" s="282">
        <v>27</v>
      </c>
      <c r="B31" s="46" t="s">
        <v>51</v>
      </c>
      <c r="C31" s="37">
        <v>21.1</v>
      </c>
    </row>
    <row r="32" spans="1:3" ht="14.45" customHeight="1" x14ac:dyDescent="0.25">
      <c r="A32" s="282">
        <f t="shared" ref="A32" si="2">+A31+1</f>
        <v>28</v>
      </c>
      <c r="B32" s="34" t="s">
        <v>45</v>
      </c>
      <c r="C32" s="37">
        <v>63</v>
      </c>
    </row>
    <row r="33" spans="1:3" s="10" customFormat="1" ht="18.75" customHeight="1" x14ac:dyDescent="0.2">
      <c r="A33" s="282">
        <f t="shared" si="0"/>
        <v>29</v>
      </c>
      <c r="B33" s="286" t="s">
        <v>300</v>
      </c>
      <c r="C33" s="65">
        <v>10</v>
      </c>
    </row>
    <row r="34" spans="1:3" s="10" customFormat="1" ht="27" customHeight="1" x14ac:dyDescent="0.2">
      <c r="A34" s="282">
        <f t="shared" si="0"/>
        <v>30</v>
      </c>
      <c r="B34" s="290" t="s">
        <v>241</v>
      </c>
      <c r="C34" s="65">
        <v>15</v>
      </c>
    </row>
    <row r="35" spans="1:3" s="10" customFormat="1" ht="18.75" customHeight="1" x14ac:dyDescent="0.2">
      <c r="A35" s="282">
        <f t="shared" si="0"/>
        <v>31</v>
      </c>
      <c r="B35" s="290" t="s">
        <v>337</v>
      </c>
      <c r="C35" s="65">
        <v>55</v>
      </c>
    </row>
    <row r="36" spans="1:3" s="10" customFormat="1" ht="16.5" customHeight="1" x14ac:dyDescent="0.2">
      <c r="A36" s="282">
        <f t="shared" si="0"/>
        <v>32</v>
      </c>
      <c r="B36" s="286" t="s">
        <v>239</v>
      </c>
      <c r="C36" s="65">
        <v>440</v>
      </c>
    </row>
    <row r="37" spans="1:3" s="10" customFormat="1" ht="17.25" customHeight="1" x14ac:dyDescent="0.2">
      <c r="A37" s="282">
        <f t="shared" si="0"/>
        <v>33</v>
      </c>
      <c r="B37" s="291" t="s">
        <v>272</v>
      </c>
      <c r="C37" s="65">
        <v>130</v>
      </c>
    </row>
    <row r="38" spans="1:3" s="10" customFormat="1" ht="16.5" customHeight="1" x14ac:dyDescent="0.2">
      <c r="A38" s="282">
        <f t="shared" si="0"/>
        <v>34</v>
      </c>
      <c r="B38" s="286" t="s">
        <v>240</v>
      </c>
      <c r="C38" s="65">
        <v>400</v>
      </c>
    </row>
    <row r="39" spans="1:3" s="10" customFormat="1" ht="18" customHeight="1" x14ac:dyDescent="0.2">
      <c r="A39" s="282">
        <f t="shared" si="0"/>
        <v>35</v>
      </c>
      <c r="B39" s="288" t="s">
        <v>97</v>
      </c>
      <c r="C39" s="65">
        <v>24.1</v>
      </c>
    </row>
    <row r="40" spans="1:3" s="10" customFormat="1" ht="18" customHeight="1" x14ac:dyDescent="0.2">
      <c r="A40" s="282">
        <f t="shared" si="0"/>
        <v>36</v>
      </c>
      <c r="B40" s="288" t="s">
        <v>338</v>
      </c>
      <c r="C40" s="65">
        <v>120</v>
      </c>
    </row>
    <row r="41" spans="1:3" s="10" customFormat="1" ht="15.75" customHeight="1" x14ac:dyDescent="0.2">
      <c r="A41" s="282">
        <f t="shared" si="0"/>
        <v>37</v>
      </c>
      <c r="B41" s="288" t="s">
        <v>353</v>
      </c>
      <c r="C41" s="65">
        <v>150</v>
      </c>
    </row>
    <row r="42" spans="1:3" ht="18" customHeight="1" x14ac:dyDescent="0.25">
      <c r="A42" s="282">
        <f t="shared" si="0"/>
        <v>38</v>
      </c>
      <c r="B42" s="287" t="s">
        <v>327</v>
      </c>
      <c r="C42" s="285">
        <v>50</v>
      </c>
    </row>
    <row r="43" spans="1:3" ht="17.25" customHeight="1" x14ac:dyDescent="0.25">
      <c r="A43" s="282">
        <f t="shared" si="0"/>
        <v>39</v>
      </c>
      <c r="B43" s="287" t="s">
        <v>95</v>
      </c>
      <c r="C43" s="285">
        <v>400</v>
      </c>
    </row>
    <row r="44" spans="1:3" ht="15.75" customHeight="1" x14ac:dyDescent="0.25">
      <c r="A44" s="282">
        <v>40</v>
      </c>
      <c r="B44" s="288" t="s">
        <v>394</v>
      </c>
      <c r="C44" s="285">
        <v>140</v>
      </c>
    </row>
    <row r="45" spans="1:3" ht="15.75" customHeight="1" x14ac:dyDescent="0.25">
      <c r="A45" s="282">
        <f t="shared" ref="A45" si="3">+A44+1</f>
        <v>41</v>
      </c>
      <c r="B45" s="287" t="s">
        <v>96</v>
      </c>
      <c r="C45" s="285">
        <v>140</v>
      </c>
    </row>
    <row r="46" spans="1:3" ht="15.75" customHeight="1" x14ac:dyDescent="0.25">
      <c r="A46" s="282">
        <f t="shared" si="0"/>
        <v>42</v>
      </c>
      <c r="B46" s="287" t="s">
        <v>206</v>
      </c>
      <c r="C46" s="285">
        <v>1500</v>
      </c>
    </row>
    <row r="47" spans="1:3" ht="16.5" customHeight="1" x14ac:dyDescent="0.25">
      <c r="A47" s="282">
        <f t="shared" si="0"/>
        <v>43</v>
      </c>
      <c r="B47" s="286" t="s">
        <v>98</v>
      </c>
      <c r="C47" s="285">
        <v>111.15</v>
      </c>
    </row>
    <row r="48" spans="1:3" ht="26.25" customHeight="1" x14ac:dyDescent="0.25">
      <c r="A48" s="282">
        <f t="shared" si="0"/>
        <v>44</v>
      </c>
      <c r="B48" s="292" t="s">
        <v>328</v>
      </c>
      <c r="C48" s="65">
        <v>3500</v>
      </c>
    </row>
    <row r="49" spans="1:4" ht="15" customHeight="1" x14ac:dyDescent="0.25">
      <c r="A49" s="282">
        <f t="shared" si="0"/>
        <v>45</v>
      </c>
      <c r="B49" s="284" t="s">
        <v>52</v>
      </c>
      <c r="C49" s="285">
        <v>279.39999999999998</v>
      </c>
    </row>
    <row r="50" spans="1:4" ht="14.1" customHeight="1" x14ac:dyDescent="0.25">
      <c r="A50" s="282">
        <f t="shared" si="0"/>
        <v>46</v>
      </c>
      <c r="B50" s="47" t="s">
        <v>53</v>
      </c>
      <c r="C50" s="45">
        <f>C14+C47+C48+C49</f>
        <v>20731.950000000004</v>
      </c>
    </row>
    <row r="51" spans="1:4" ht="14.1" customHeight="1" x14ac:dyDescent="0.25">
      <c r="A51" s="282">
        <f t="shared" si="0"/>
        <v>47</v>
      </c>
      <c r="B51" s="504" t="s">
        <v>54</v>
      </c>
      <c r="C51" s="504"/>
    </row>
    <row r="52" spans="1:4" ht="14.1" customHeight="1" x14ac:dyDescent="0.25">
      <c r="A52" s="282">
        <f t="shared" si="0"/>
        <v>48</v>
      </c>
      <c r="B52" s="283" t="s">
        <v>60</v>
      </c>
      <c r="C52" s="45">
        <f>C53+C54+C55+C56+C57</f>
        <v>5018</v>
      </c>
    </row>
    <row r="53" spans="1:4" ht="14.1" customHeight="1" x14ac:dyDescent="0.25">
      <c r="A53" s="282">
        <f t="shared" si="0"/>
        <v>49</v>
      </c>
      <c r="B53" s="46" t="s">
        <v>178</v>
      </c>
      <c r="C53" s="285">
        <v>1242</v>
      </c>
    </row>
    <row r="54" spans="1:4" x14ac:dyDescent="0.25">
      <c r="A54" s="282">
        <f t="shared" si="0"/>
        <v>50</v>
      </c>
      <c r="B54" s="3" t="s">
        <v>101</v>
      </c>
      <c r="C54" s="285">
        <v>976</v>
      </c>
    </row>
    <row r="55" spans="1:4" ht="14.1" customHeight="1" x14ac:dyDescent="0.25">
      <c r="A55" s="282">
        <f t="shared" si="0"/>
        <v>51</v>
      </c>
      <c r="B55" s="46" t="s">
        <v>102</v>
      </c>
      <c r="C55" s="285">
        <f>2400+310</f>
        <v>2710</v>
      </c>
    </row>
    <row r="56" spans="1:4" s="10" customFormat="1" ht="17.25" customHeight="1" x14ac:dyDescent="0.2">
      <c r="A56" s="282">
        <f t="shared" si="0"/>
        <v>52</v>
      </c>
      <c r="B56" s="293" t="s">
        <v>103</v>
      </c>
      <c r="C56" s="65">
        <f>65+15</f>
        <v>80</v>
      </c>
    </row>
    <row r="57" spans="1:4" s="10" customFormat="1" ht="18" customHeight="1" x14ac:dyDescent="0.2">
      <c r="A57" s="282">
        <v>53</v>
      </c>
      <c r="B57" s="5" t="s">
        <v>104</v>
      </c>
      <c r="C57" s="65">
        <v>10</v>
      </c>
      <c r="D57" s="113"/>
    </row>
    <row r="58" spans="1:4" ht="14.45" customHeight="1" x14ac:dyDescent="0.25">
      <c r="A58" s="282">
        <f t="shared" ref="A58" si="4">+A57+1</f>
        <v>54</v>
      </c>
      <c r="B58" s="288" t="s">
        <v>56</v>
      </c>
      <c r="C58" s="294">
        <v>12.6</v>
      </c>
    </row>
    <row r="59" spans="1:4" ht="14.1" customHeight="1" x14ac:dyDescent="0.25">
      <c r="A59" s="282">
        <f t="shared" si="0"/>
        <v>55</v>
      </c>
      <c r="B59" s="288" t="s">
        <v>68</v>
      </c>
      <c r="C59" s="294">
        <f>801.1-9.332</f>
        <v>791.76800000000003</v>
      </c>
      <c r="D59" s="52"/>
    </row>
    <row r="60" spans="1:4" ht="15.75" customHeight="1" x14ac:dyDescent="0.25">
      <c r="A60" s="282">
        <f t="shared" si="0"/>
        <v>56</v>
      </c>
      <c r="B60" s="288" t="s">
        <v>106</v>
      </c>
      <c r="C60" s="294">
        <f>559.97-22.663</f>
        <v>537.30700000000002</v>
      </c>
    </row>
    <row r="61" spans="1:4" s="10" customFormat="1" ht="17.25" customHeight="1" x14ac:dyDescent="0.2">
      <c r="A61" s="282">
        <f t="shared" si="0"/>
        <v>57</v>
      </c>
      <c r="B61" s="286" t="s">
        <v>55</v>
      </c>
      <c r="C61" s="295">
        <f>827.1-11.332</f>
        <v>815.76800000000003</v>
      </c>
    </row>
    <row r="62" spans="1:4" ht="14.1" customHeight="1" x14ac:dyDescent="0.25">
      <c r="A62" s="282">
        <f t="shared" si="0"/>
        <v>58</v>
      </c>
      <c r="B62" s="47" t="s">
        <v>53</v>
      </c>
      <c r="C62" s="45">
        <f>C52+C59+C60+C61+C58</f>
        <v>7175.4430000000002</v>
      </c>
    </row>
    <row r="63" spans="1:4" ht="14.1" customHeight="1" x14ac:dyDescent="0.25">
      <c r="A63" s="282">
        <f t="shared" si="0"/>
        <v>59</v>
      </c>
      <c r="B63" s="498" t="s">
        <v>270</v>
      </c>
      <c r="C63" s="498"/>
    </row>
    <row r="64" spans="1:4" ht="14.1" customHeight="1" x14ac:dyDescent="0.25">
      <c r="A64" s="282">
        <f t="shared" si="0"/>
        <v>60</v>
      </c>
      <c r="B64" s="289" t="s">
        <v>60</v>
      </c>
      <c r="C64" s="296">
        <f>C65+C68+C66+C67</f>
        <v>2920</v>
      </c>
    </row>
    <row r="65" spans="1:3" ht="14.1" customHeight="1" x14ac:dyDescent="0.25">
      <c r="A65" s="282">
        <f t="shared" si="0"/>
        <v>61</v>
      </c>
      <c r="B65" s="287" t="s">
        <v>395</v>
      </c>
      <c r="C65" s="297">
        <v>205</v>
      </c>
    </row>
    <row r="66" spans="1:3" ht="15" customHeight="1" x14ac:dyDescent="0.25">
      <c r="A66" s="282">
        <f t="shared" si="0"/>
        <v>62</v>
      </c>
      <c r="B66" s="3" t="s">
        <v>128</v>
      </c>
      <c r="C66" s="285">
        <v>1900</v>
      </c>
    </row>
    <row r="67" spans="1:3" ht="15" customHeight="1" x14ac:dyDescent="0.25">
      <c r="A67" s="282">
        <f t="shared" ref="A67:A130" si="5">+A66+1</f>
        <v>63</v>
      </c>
      <c r="B67" s="3" t="s">
        <v>142</v>
      </c>
      <c r="C67" s="285">
        <f>110+700</f>
        <v>810</v>
      </c>
    </row>
    <row r="68" spans="1:3" ht="14.1" customHeight="1" x14ac:dyDescent="0.25">
      <c r="A68" s="282">
        <f t="shared" si="5"/>
        <v>64</v>
      </c>
      <c r="B68" s="3" t="s">
        <v>108</v>
      </c>
      <c r="C68" s="285">
        <v>5</v>
      </c>
    </row>
    <row r="69" spans="1:3" ht="14.1" customHeight="1" x14ac:dyDescent="0.25">
      <c r="A69" s="282">
        <f t="shared" si="5"/>
        <v>65</v>
      </c>
      <c r="B69" s="47" t="s">
        <v>53</v>
      </c>
      <c r="C69" s="285">
        <f>C64</f>
        <v>2920</v>
      </c>
    </row>
    <row r="70" spans="1:3" ht="14.1" customHeight="1" x14ac:dyDescent="0.25">
      <c r="A70" s="282">
        <f t="shared" si="5"/>
        <v>66</v>
      </c>
      <c r="B70" s="498" t="s">
        <v>61</v>
      </c>
      <c r="C70" s="498"/>
    </row>
    <row r="71" spans="1:3" ht="14.25" customHeight="1" x14ac:dyDescent="0.25">
      <c r="A71" s="282">
        <f t="shared" si="5"/>
        <v>67</v>
      </c>
      <c r="B71" s="283" t="s">
        <v>60</v>
      </c>
      <c r="C71" s="45">
        <f>C74+C75+C76+C81+C82+C87+C80+C86+C83+C84+C85+C72+C79+C73</f>
        <v>12368.216999999999</v>
      </c>
    </row>
    <row r="72" spans="1:3" ht="14.25" customHeight="1" x14ac:dyDescent="0.25">
      <c r="A72" s="282">
        <f t="shared" si="5"/>
        <v>68</v>
      </c>
      <c r="B72" s="283" t="s">
        <v>329</v>
      </c>
      <c r="C72" s="45">
        <v>1059.0260000000001</v>
      </c>
    </row>
    <row r="73" spans="1:3" ht="14.25" customHeight="1" x14ac:dyDescent="0.25">
      <c r="A73" s="282">
        <f t="shared" si="5"/>
        <v>69</v>
      </c>
      <c r="B73" s="283" t="s">
        <v>396</v>
      </c>
      <c r="C73" s="45">
        <v>290</v>
      </c>
    </row>
    <row r="74" spans="1:3" ht="14.1" customHeight="1" x14ac:dyDescent="0.25">
      <c r="A74" s="282">
        <f t="shared" si="5"/>
        <v>70</v>
      </c>
      <c r="B74" s="289" t="s">
        <v>398</v>
      </c>
      <c r="C74" s="296">
        <v>306</v>
      </c>
    </row>
    <row r="75" spans="1:3" ht="14.1" customHeight="1" x14ac:dyDescent="0.25">
      <c r="A75" s="282">
        <f t="shared" si="5"/>
        <v>71</v>
      </c>
      <c r="B75" s="289" t="s">
        <v>397</v>
      </c>
      <c r="C75" s="296">
        <v>271</v>
      </c>
    </row>
    <row r="76" spans="1:3" ht="14.1" customHeight="1" x14ac:dyDescent="0.25">
      <c r="A76" s="282">
        <f t="shared" si="5"/>
        <v>72</v>
      </c>
      <c r="B76" s="289" t="s">
        <v>109</v>
      </c>
      <c r="C76" s="296">
        <f>C77+C78</f>
        <v>1170</v>
      </c>
    </row>
    <row r="77" spans="1:3" ht="14.1" customHeight="1" x14ac:dyDescent="0.25">
      <c r="A77" s="282">
        <f t="shared" si="5"/>
        <v>73</v>
      </c>
      <c r="B77" s="46" t="s">
        <v>44</v>
      </c>
      <c r="C77" s="37">
        <v>570</v>
      </c>
    </row>
    <row r="78" spans="1:3" ht="14.1" customHeight="1" x14ac:dyDescent="0.25">
      <c r="A78" s="282">
        <f t="shared" si="5"/>
        <v>74</v>
      </c>
      <c r="B78" s="46" t="s">
        <v>45</v>
      </c>
      <c r="C78" s="37">
        <v>600</v>
      </c>
    </row>
    <row r="79" spans="1:3" ht="14.1" customHeight="1" x14ac:dyDescent="0.25">
      <c r="A79" s="282">
        <f t="shared" si="5"/>
        <v>75</v>
      </c>
      <c r="B79" s="284" t="s">
        <v>348</v>
      </c>
      <c r="C79" s="285">
        <v>900</v>
      </c>
    </row>
    <row r="80" spans="1:3" s="10" customFormat="1" ht="18" customHeight="1" x14ac:dyDescent="0.2">
      <c r="A80" s="282">
        <f t="shared" si="5"/>
        <v>76</v>
      </c>
      <c r="B80" s="288" t="s">
        <v>110</v>
      </c>
      <c r="C80" s="65">
        <v>2700</v>
      </c>
    </row>
    <row r="81" spans="1:3" ht="24" customHeight="1" x14ac:dyDescent="0.25">
      <c r="A81" s="282">
        <f t="shared" si="5"/>
        <v>77</v>
      </c>
      <c r="B81" s="298" t="s">
        <v>111</v>
      </c>
      <c r="C81" s="65">
        <v>149.291</v>
      </c>
    </row>
    <row r="82" spans="1:3" ht="14.1" customHeight="1" x14ac:dyDescent="0.25">
      <c r="A82" s="282">
        <f t="shared" si="5"/>
        <v>78</v>
      </c>
      <c r="B82" s="287" t="s">
        <v>112</v>
      </c>
      <c r="C82" s="285">
        <v>90</v>
      </c>
    </row>
    <row r="83" spans="1:3" ht="14.1" customHeight="1" x14ac:dyDescent="0.25">
      <c r="A83" s="282">
        <f t="shared" si="5"/>
        <v>79</v>
      </c>
      <c r="B83" s="287" t="s">
        <v>130</v>
      </c>
      <c r="C83" s="285">
        <v>300</v>
      </c>
    </row>
    <row r="84" spans="1:3" ht="14.1" customHeight="1" x14ac:dyDescent="0.25">
      <c r="A84" s="282">
        <f t="shared" si="5"/>
        <v>80</v>
      </c>
      <c r="B84" s="287" t="s">
        <v>399</v>
      </c>
      <c r="C84" s="285">
        <v>700</v>
      </c>
    </row>
    <row r="85" spans="1:3" ht="14.1" customHeight="1" x14ac:dyDescent="0.25">
      <c r="A85" s="282">
        <f t="shared" si="5"/>
        <v>81</v>
      </c>
      <c r="B85" s="287" t="s">
        <v>349</v>
      </c>
      <c r="C85" s="285">
        <v>100</v>
      </c>
    </row>
    <row r="86" spans="1:3" ht="14.1" customHeight="1" x14ac:dyDescent="0.25">
      <c r="A86" s="282">
        <f t="shared" si="5"/>
        <v>82</v>
      </c>
      <c r="B86" s="287" t="s">
        <v>179</v>
      </c>
      <c r="C86" s="285">
        <v>3500</v>
      </c>
    </row>
    <row r="87" spans="1:3" ht="14.1" customHeight="1" x14ac:dyDescent="0.25">
      <c r="A87" s="282">
        <f t="shared" si="5"/>
        <v>83</v>
      </c>
      <c r="B87" s="283" t="s">
        <v>113</v>
      </c>
      <c r="C87" s="285">
        <v>832.9</v>
      </c>
    </row>
    <row r="88" spans="1:3" ht="14.1" customHeight="1" x14ac:dyDescent="0.25">
      <c r="A88" s="282">
        <f t="shared" si="5"/>
        <v>84</v>
      </c>
      <c r="B88" s="47" t="s">
        <v>53</v>
      </c>
      <c r="C88" s="45">
        <f>C71</f>
        <v>12368.216999999999</v>
      </c>
    </row>
    <row r="89" spans="1:3" ht="14.1" customHeight="1" x14ac:dyDescent="0.25">
      <c r="A89" s="282">
        <f t="shared" si="5"/>
        <v>85</v>
      </c>
      <c r="B89" s="498" t="s">
        <v>59</v>
      </c>
      <c r="C89" s="498"/>
    </row>
    <row r="90" spans="1:3" ht="14.1" customHeight="1" x14ac:dyDescent="0.25">
      <c r="A90" s="282">
        <f t="shared" si="5"/>
        <v>86</v>
      </c>
      <c r="B90" s="283" t="s">
        <v>60</v>
      </c>
      <c r="C90" s="45">
        <f>C91+C92+C93</f>
        <v>3882.752</v>
      </c>
    </row>
    <row r="91" spans="1:3" ht="14.1" customHeight="1" x14ac:dyDescent="0.25">
      <c r="A91" s="282">
        <f t="shared" si="5"/>
        <v>87</v>
      </c>
      <c r="B91" s="3" t="s">
        <v>175</v>
      </c>
      <c r="C91" s="285">
        <f>3783.9+58.852</f>
        <v>3842.752</v>
      </c>
    </row>
    <row r="92" spans="1:3" ht="14.1" customHeight="1" x14ac:dyDescent="0.25">
      <c r="A92" s="282">
        <f t="shared" si="5"/>
        <v>88</v>
      </c>
      <c r="B92" s="34" t="s">
        <v>143</v>
      </c>
      <c r="C92" s="285">
        <v>20</v>
      </c>
    </row>
    <row r="93" spans="1:3" ht="14.1" customHeight="1" x14ac:dyDescent="0.25">
      <c r="A93" s="282">
        <f t="shared" si="5"/>
        <v>89</v>
      </c>
      <c r="B93" s="3" t="s">
        <v>267</v>
      </c>
      <c r="C93" s="285">
        <v>20</v>
      </c>
    </row>
    <row r="94" spans="1:3" ht="14.1" customHeight="1" x14ac:dyDescent="0.25">
      <c r="A94" s="282">
        <f t="shared" si="5"/>
        <v>90</v>
      </c>
      <c r="B94" s="47" t="s">
        <v>53</v>
      </c>
      <c r="C94" s="45">
        <f>C90</f>
        <v>3882.752</v>
      </c>
    </row>
    <row r="95" spans="1:3" ht="12.75" customHeight="1" x14ac:dyDescent="0.25">
      <c r="A95" s="282">
        <f t="shared" si="5"/>
        <v>91</v>
      </c>
      <c r="B95" s="503" t="s">
        <v>238</v>
      </c>
      <c r="C95" s="503"/>
    </row>
    <row r="96" spans="1:3" ht="14.1" customHeight="1" x14ac:dyDescent="0.25">
      <c r="A96" s="282">
        <f t="shared" si="5"/>
        <v>92</v>
      </c>
      <c r="B96" s="283" t="s">
        <v>60</v>
      </c>
      <c r="C96" s="45">
        <f>C97+C101+C102+C103+C104+C105+C106+C107+C98+C100+C99+C108</f>
        <v>2250.1000000000004</v>
      </c>
    </row>
    <row r="97" spans="1:3" ht="14.1" customHeight="1" x14ac:dyDescent="0.25">
      <c r="A97" s="282">
        <f t="shared" si="5"/>
        <v>93</v>
      </c>
      <c r="B97" s="46" t="s">
        <v>114</v>
      </c>
      <c r="C97" s="37">
        <v>260</v>
      </c>
    </row>
    <row r="98" spans="1:3" ht="14.1" customHeight="1" x14ac:dyDescent="0.25">
      <c r="A98" s="282">
        <f t="shared" si="5"/>
        <v>94</v>
      </c>
      <c r="B98" s="46" t="s">
        <v>273</v>
      </c>
      <c r="C98" s="37">
        <v>200</v>
      </c>
    </row>
    <row r="99" spans="1:3" ht="14.1" customHeight="1" x14ac:dyDescent="0.25">
      <c r="A99" s="282">
        <f t="shared" si="5"/>
        <v>95</v>
      </c>
      <c r="B99" s="46" t="s">
        <v>400</v>
      </c>
      <c r="C99" s="37">
        <v>50</v>
      </c>
    </row>
    <row r="100" spans="1:3" ht="14.1" customHeight="1" x14ac:dyDescent="0.25">
      <c r="A100" s="282">
        <f t="shared" si="5"/>
        <v>96</v>
      </c>
      <c r="B100" s="46" t="s">
        <v>401</v>
      </c>
      <c r="C100" s="37">
        <v>25</v>
      </c>
    </row>
    <row r="101" spans="1:3" s="10" customFormat="1" ht="14.25" customHeight="1" x14ac:dyDescent="0.2">
      <c r="A101" s="282">
        <f t="shared" si="5"/>
        <v>97</v>
      </c>
      <c r="B101" s="7" t="s">
        <v>330</v>
      </c>
      <c r="C101" s="299">
        <v>288.39999999999998</v>
      </c>
    </row>
    <row r="102" spans="1:3" s="10" customFormat="1" ht="14.25" customHeight="1" x14ac:dyDescent="0.2">
      <c r="A102" s="282">
        <f t="shared" si="5"/>
        <v>98</v>
      </c>
      <c r="B102" s="300" t="s">
        <v>331</v>
      </c>
      <c r="C102" s="299">
        <f>928.4+9.6</f>
        <v>938</v>
      </c>
    </row>
    <row r="103" spans="1:3" s="10" customFormat="1" ht="12.75" customHeight="1" x14ac:dyDescent="0.2">
      <c r="A103" s="282">
        <f t="shared" si="5"/>
        <v>99</v>
      </c>
      <c r="B103" s="300" t="s">
        <v>332</v>
      </c>
      <c r="C103" s="299">
        <f>300.3+3.4</f>
        <v>303.7</v>
      </c>
    </row>
    <row r="104" spans="1:3" ht="14.1" customHeight="1" x14ac:dyDescent="0.25">
      <c r="A104" s="282">
        <f t="shared" si="5"/>
        <v>100</v>
      </c>
      <c r="B104" s="46" t="s">
        <v>115</v>
      </c>
      <c r="C104" s="37">
        <v>55</v>
      </c>
    </row>
    <row r="105" spans="1:3" ht="14.1" customHeight="1" x14ac:dyDescent="0.25">
      <c r="A105" s="282">
        <f t="shared" si="5"/>
        <v>101</v>
      </c>
      <c r="B105" s="46" t="s">
        <v>135</v>
      </c>
      <c r="C105" s="37">
        <v>65</v>
      </c>
    </row>
    <row r="106" spans="1:3" ht="15" customHeight="1" x14ac:dyDescent="0.25">
      <c r="A106" s="282">
        <f t="shared" si="5"/>
        <v>102</v>
      </c>
      <c r="B106" s="46" t="s">
        <v>116</v>
      </c>
      <c r="C106" s="37">
        <v>30</v>
      </c>
    </row>
    <row r="107" spans="1:3" ht="14.1" customHeight="1" x14ac:dyDescent="0.25">
      <c r="A107" s="282">
        <f t="shared" si="5"/>
        <v>103</v>
      </c>
      <c r="B107" s="34" t="s">
        <v>117</v>
      </c>
      <c r="C107" s="37">
        <v>25</v>
      </c>
    </row>
    <row r="108" spans="1:3" ht="14.1" customHeight="1" x14ac:dyDescent="0.25">
      <c r="A108" s="282">
        <f t="shared" si="5"/>
        <v>104</v>
      </c>
      <c r="B108" s="34" t="s">
        <v>402</v>
      </c>
      <c r="C108" s="37">
        <v>10</v>
      </c>
    </row>
    <row r="109" spans="1:3" ht="15.75" customHeight="1" x14ac:dyDescent="0.25">
      <c r="A109" s="282">
        <f t="shared" si="5"/>
        <v>105</v>
      </c>
      <c r="B109" s="287" t="s">
        <v>86</v>
      </c>
      <c r="C109" s="301">
        <f>300.9+2.8</f>
        <v>303.7</v>
      </c>
    </row>
    <row r="110" spans="1:3" ht="15" customHeight="1" x14ac:dyDescent="0.25">
      <c r="A110" s="282">
        <f t="shared" si="5"/>
        <v>106</v>
      </c>
      <c r="B110" s="288" t="s">
        <v>235</v>
      </c>
      <c r="C110" s="301">
        <f>179.3+1.7</f>
        <v>181</v>
      </c>
    </row>
    <row r="111" spans="1:3" ht="14.1" customHeight="1" x14ac:dyDescent="0.25">
      <c r="A111" s="282">
        <f t="shared" si="5"/>
        <v>107</v>
      </c>
      <c r="B111" s="288" t="s">
        <v>69</v>
      </c>
      <c r="C111" s="301">
        <f>362.4+4.5</f>
        <v>366.9</v>
      </c>
    </row>
    <row r="112" spans="1:3" ht="14.25" customHeight="1" x14ac:dyDescent="0.25">
      <c r="A112" s="282">
        <f t="shared" si="5"/>
        <v>108</v>
      </c>
      <c r="B112" s="288" t="s">
        <v>118</v>
      </c>
      <c r="C112" s="301">
        <v>381.1</v>
      </c>
    </row>
    <row r="113" spans="1:7" ht="15" customHeight="1" x14ac:dyDescent="0.25">
      <c r="A113" s="282">
        <f t="shared" si="5"/>
        <v>109</v>
      </c>
      <c r="B113" s="284" t="s">
        <v>119</v>
      </c>
      <c r="C113" s="301">
        <f>1284.6+22</f>
        <v>1306.5999999999999</v>
      </c>
    </row>
    <row r="114" spans="1:7" ht="14.1" customHeight="1" x14ac:dyDescent="0.25">
      <c r="A114" s="282">
        <f t="shared" si="5"/>
        <v>110</v>
      </c>
      <c r="B114" s="47" t="s">
        <v>53</v>
      </c>
      <c r="C114" s="45">
        <f>C96+C112+C113+C109+C111+C110</f>
        <v>4789.3999999999996</v>
      </c>
    </row>
    <row r="115" spans="1:7" ht="14.1" customHeight="1" x14ac:dyDescent="0.25">
      <c r="A115" s="282">
        <f t="shared" si="5"/>
        <v>111</v>
      </c>
      <c r="B115" s="498" t="s">
        <v>237</v>
      </c>
      <c r="C115" s="498"/>
    </row>
    <row r="116" spans="1:7" ht="16.5" customHeight="1" x14ac:dyDescent="0.25">
      <c r="A116" s="282">
        <f t="shared" si="5"/>
        <v>112</v>
      </c>
      <c r="B116" s="5" t="s">
        <v>70</v>
      </c>
      <c r="C116" s="257">
        <v>457.2</v>
      </c>
    </row>
    <row r="117" spans="1:7" ht="14.1" customHeight="1" x14ac:dyDescent="0.25">
      <c r="A117" s="282">
        <f t="shared" si="5"/>
        <v>113</v>
      </c>
      <c r="B117" s="5" t="s">
        <v>71</v>
      </c>
      <c r="C117" s="257">
        <v>146.65</v>
      </c>
      <c r="D117" s="302"/>
      <c r="E117" s="302"/>
      <c r="F117" s="302"/>
      <c r="G117" s="302"/>
    </row>
    <row r="118" spans="1:7" ht="14.1" customHeight="1" x14ac:dyDescent="0.25">
      <c r="A118" s="282">
        <f t="shared" si="5"/>
        <v>114</v>
      </c>
      <c r="B118" s="5" t="s">
        <v>72</v>
      </c>
      <c r="C118" s="257">
        <v>860</v>
      </c>
      <c r="D118" s="302"/>
      <c r="E118" s="302"/>
      <c r="F118" s="302"/>
      <c r="G118" s="302"/>
    </row>
    <row r="119" spans="1:7" ht="14.1" customHeight="1" x14ac:dyDescent="0.25">
      <c r="A119" s="282">
        <f t="shared" si="5"/>
        <v>115</v>
      </c>
      <c r="B119" s="5" t="s">
        <v>73</v>
      </c>
      <c r="C119" s="257">
        <v>572.9</v>
      </c>
      <c r="D119" s="302"/>
      <c r="E119" s="302"/>
      <c r="F119" s="302"/>
      <c r="G119" s="302"/>
    </row>
    <row r="120" spans="1:7" ht="14.1" customHeight="1" x14ac:dyDescent="0.25">
      <c r="A120" s="282">
        <f t="shared" si="5"/>
        <v>116</v>
      </c>
      <c r="B120" s="5" t="s">
        <v>74</v>
      </c>
      <c r="C120" s="257">
        <v>217.3</v>
      </c>
      <c r="D120" s="302"/>
      <c r="E120" s="302"/>
      <c r="F120" s="302"/>
      <c r="G120" s="302"/>
    </row>
    <row r="121" spans="1:7" ht="14.1" customHeight="1" x14ac:dyDescent="0.25">
      <c r="A121" s="282">
        <f t="shared" si="5"/>
        <v>117</v>
      </c>
      <c r="B121" s="5" t="s">
        <v>75</v>
      </c>
      <c r="C121" s="257">
        <v>682.5</v>
      </c>
      <c r="D121" s="302"/>
      <c r="E121" s="302"/>
      <c r="F121" s="302"/>
      <c r="G121" s="302"/>
    </row>
    <row r="122" spans="1:7" ht="14.1" customHeight="1" x14ac:dyDescent="0.25">
      <c r="A122" s="282">
        <f t="shared" si="5"/>
        <v>118</v>
      </c>
      <c r="B122" s="5" t="s">
        <v>76</v>
      </c>
      <c r="C122" s="257">
        <v>250</v>
      </c>
      <c r="D122" s="302"/>
      <c r="E122" s="302"/>
      <c r="F122" s="302"/>
      <c r="G122" s="302"/>
    </row>
    <row r="123" spans="1:7" ht="14.1" customHeight="1" x14ac:dyDescent="0.25">
      <c r="A123" s="282">
        <f t="shared" si="5"/>
        <v>119</v>
      </c>
      <c r="B123" s="5" t="s">
        <v>120</v>
      </c>
      <c r="C123" s="257">
        <v>582.20000000000005</v>
      </c>
      <c r="D123" s="302"/>
      <c r="E123" s="302"/>
      <c r="F123" s="302"/>
      <c r="G123" s="302"/>
    </row>
    <row r="124" spans="1:7" ht="14.1" customHeight="1" x14ac:dyDescent="0.25">
      <c r="A124" s="282">
        <f t="shared" si="5"/>
        <v>120</v>
      </c>
      <c r="B124" s="5" t="s">
        <v>77</v>
      </c>
      <c r="C124" s="257">
        <v>690.4</v>
      </c>
      <c r="D124" s="302"/>
      <c r="E124" s="302"/>
      <c r="F124" s="302"/>
      <c r="G124" s="302"/>
    </row>
    <row r="125" spans="1:7" ht="14.1" customHeight="1" x14ac:dyDescent="0.25">
      <c r="A125" s="282">
        <f t="shared" si="5"/>
        <v>121</v>
      </c>
      <c r="B125" s="5" t="s">
        <v>62</v>
      </c>
      <c r="C125" s="257">
        <v>433.2</v>
      </c>
      <c r="D125" s="302"/>
      <c r="E125" s="302"/>
      <c r="F125" s="302"/>
      <c r="G125" s="302"/>
    </row>
    <row r="126" spans="1:7" ht="14.1" customHeight="1" x14ac:dyDescent="0.25">
      <c r="A126" s="282">
        <f t="shared" si="5"/>
        <v>122</v>
      </c>
      <c r="B126" s="5" t="s">
        <v>78</v>
      </c>
      <c r="C126" s="257">
        <v>465.3</v>
      </c>
      <c r="D126" s="302"/>
      <c r="E126" s="302"/>
      <c r="F126" s="302"/>
      <c r="G126" s="302"/>
    </row>
    <row r="127" spans="1:7" ht="14.1" customHeight="1" x14ac:dyDescent="0.25">
      <c r="A127" s="282">
        <f t="shared" si="5"/>
        <v>123</v>
      </c>
      <c r="B127" s="5" t="s">
        <v>79</v>
      </c>
      <c r="C127" s="257">
        <v>482.9</v>
      </c>
      <c r="D127" s="302"/>
      <c r="E127" s="302"/>
      <c r="F127" s="302"/>
      <c r="G127" s="302"/>
    </row>
    <row r="128" spans="1:7" ht="14.1" customHeight="1" x14ac:dyDescent="0.25">
      <c r="A128" s="282">
        <f t="shared" si="5"/>
        <v>124</v>
      </c>
      <c r="B128" s="5" t="s">
        <v>80</v>
      </c>
      <c r="C128" s="257">
        <v>423.5</v>
      </c>
      <c r="D128" s="302"/>
      <c r="E128" s="302"/>
      <c r="F128" s="302"/>
      <c r="G128" s="302"/>
    </row>
    <row r="129" spans="1:7" ht="14.1" customHeight="1" x14ac:dyDescent="0.25">
      <c r="A129" s="282">
        <f t="shared" si="5"/>
        <v>125</v>
      </c>
      <c r="B129" s="5" t="s">
        <v>65</v>
      </c>
      <c r="C129" s="257">
        <v>683.8</v>
      </c>
      <c r="D129" s="302"/>
      <c r="E129" s="302"/>
      <c r="F129" s="302"/>
      <c r="G129" s="302"/>
    </row>
    <row r="130" spans="1:7" ht="14.1" customHeight="1" x14ac:dyDescent="0.25">
      <c r="A130" s="282">
        <f t="shared" si="5"/>
        <v>126</v>
      </c>
      <c r="B130" s="303" t="s">
        <v>282</v>
      </c>
      <c r="C130" s="257">
        <v>539</v>
      </c>
      <c r="D130" s="302"/>
      <c r="E130" s="302"/>
      <c r="F130" s="302"/>
      <c r="G130" s="302"/>
    </row>
    <row r="131" spans="1:7" ht="14.1" customHeight="1" x14ac:dyDescent="0.25">
      <c r="A131" s="282">
        <f t="shared" ref="A131:A151" si="6">+A130+1</f>
        <v>127</v>
      </c>
      <c r="B131" s="3" t="s">
        <v>81</v>
      </c>
      <c r="C131" s="257">
        <v>194.1</v>
      </c>
      <c r="D131" s="302"/>
      <c r="E131" s="302"/>
      <c r="F131" s="302"/>
      <c r="G131" s="302"/>
    </row>
    <row r="132" spans="1:7" ht="14.1" customHeight="1" x14ac:dyDescent="0.25">
      <c r="A132" s="282">
        <f t="shared" si="6"/>
        <v>128</v>
      </c>
      <c r="B132" s="46" t="s">
        <v>82</v>
      </c>
      <c r="C132" s="257">
        <v>379.9</v>
      </c>
      <c r="D132" s="302"/>
      <c r="E132" s="302"/>
      <c r="F132" s="302"/>
      <c r="G132" s="302"/>
    </row>
    <row r="133" spans="1:7" ht="14.1" customHeight="1" x14ac:dyDescent="0.25">
      <c r="A133" s="282">
        <f t="shared" si="6"/>
        <v>129</v>
      </c>
      <c r="B133" s="5" t="s">
        <v>83</v>
      </c>
      <c r="C133" s="257">
        <v>547.5</v>
      </c>
      <c r="D133" s="302"/>
      <c r="E133" s="302"/>
      <c r="F133" s="302"/>
      <c r="G133" s="302"/>
    </row>
    <row r="134" spans="1:7" ht="14.1" customHeight="1" x14ac:dyDescent="0.25">
      <c r="A134" s="282">
        <f t="shared" si="6"/>
        <v>130</v>
      </c>
      <c r="B134" s="5" t="s">
        <v>281</v>
      </c>
      <c r="C134" s="257">
        <v>438.9</v>
      </c>
      <c r="D134" s="302"/>
      <c r="E134" s="302"/>
      <c r="F134" s="302"/>
      <c r="G134" s="302"/>
    </row>
    <row r="135" spans="1:7" ht="14.1" customHeight="1" x14ac:dyDescent="0.25">
      <c r="A135" s="282">
        <f t="shared" si="6"/>
        <v>131</v>
      </c>
      <c r="B135" s="46" t="s">
        <v>84</v>
      </c>
      <c r="C135" s="257">
        <v>772.1</v>
      </c>
      <c r="D135" s="302"/>
      <c r="E135" s="302"/>
      <c r="F135" s="302"/>
      <c r="G135" s="302"/>
    </row>
    <row r="136" spans="1:7" ht="14.1" customHeight="1" x14ac:dyDescent="0.25">
      <c r="A136" s="282">
        <f t="shared" si="6"/>
        <v>132</v>
      </c>
      <c r="B136" s="5" t="s">
        <v>64</v>
      </c>
      <c r="C136" s="257">
        <v>555.5</v>
      </c>
      <c r="D136" s="302"/>
      <c r="E136" s="302"/>
      <c r="F136" s="302"/>
      <c r="G136" s="302"/>
    </row>
    <row r="137" spans="1:7" ht="14.1" customHeight="1" x14ac:dyDescent="0.25">
      <c r="A137" s="282">
        <f t="shared" si="6"/>
        <v>133</v>
      </c>
      <c r="B137" s="46" t="s">
        <v>85</v>
      </c>
      <c r="C137" s="257">
        <v>462.5</v>
      </c>
      <c r="D137" s="302"/>
      <c r="E137" s="302"/>
      <c r="F137" s="302"/>
      <c r="G137" s="302"/>
    </row>
    <row r="138" spans="1:7" ht="15.75" customHeight="1" x14ac:dyDescent="0.25">
      <c r="A138" s="282">
        <f t="shared" si="6"/>
        <v>134</v>
      </c>
      <c r="B138" s="34" t="s">
        <v>63</v>
      </c>
      <c r="C138" s="257">
        <v>72.7</v>
      </c>
      <c r="D138" s="302"/>
      <c r="E138" s="302"/>
      <c r="F138" s="302"/>
      <c r="G138" s="302"/>
    </row>
    <row r="139" spans="1:7" ht="14.1" customHeight="1" x14ac:dyDescent="0.25">
      <c r="A139" s="282">
        <f t="shared" si="6"/>
        <v>135</v>
      </c>
      <c r="B139" s="46" t="s">
        <v>66</v>
      </c>
      <c r="C139" s="257">
        <v>427.5</v>
      </c>
      <c r="D139" s="302"/>
      <c r="E139" s="302"/>
      <c r="F139" s="302"/>
      <c r="G139" s="302"/>
    </row>
    <row r="140" spans="1:7" ht="14.1" customHeight="1" x14ac:dyDescent="0.25">
      <c r="A140" s="282">
        <f t="shared" si="6"/>
        <v>136</v>
      </c>
      <c r="B140" s="46" t="s">
        <v>67</v>
      </c>
      <c r="C140" s="257">
        <v>945.6</v>
      </c>
      <c r="D140" s="302"/>
      <c r="E140" s="302"/>
      <c r="F140" s="302"/>
      <c r="G140" s="302"/>
    </row>
    <row r="141" spans="1:7" ht="18.600000000000001" customHeight="1" x14ac:dyDescent="0.25">
      <c r="A141" s="282">
        <f t="shared" si="6"/>
        <v>137</v>
      </c>
      <c r="B141" s="3" t="s">
        <v>87</v>
      </c>
      <c r="C141" s="257">
        <v>115.2</v>
      </c>
      <c r="D141" s="304"/>
      <c r="E141" s="304"/>
      <c r="F141" s="302"/>
      <c r="G141" s="302"/>
    </row>
    <row r="142" spans="1:7" ht="15.6" customHeight="1" x14ac:dyDescent="0.25">
      <c r="A142" s="282">
        <f t="shared" si="6"/>
        <v>138</v>
      </c>
      <c r="B142" s="5" t="s">
        <v>283</v>
      </c>
      <c r="C142" s="257">
        <f>843.64</f>
        <v>843.64</v>
      </c>
      <c r="D142" s="304"/>
      <c r="E142" s="304"/>
      <c r="F142" s="302"/>
      <c r="G142" s="302"/>
    </row>
    <row r="143" spans="1:7" ht="14.1" customHeight="1" x14ac:dyDescent="0.25">
      <c r="A143" s="282">
        <f t="shared" si="6"/>
        <v>139</v>
      </c>
      <c r="B143" s="283" t="s">
        <v>60</v>
      </c>
      <c r="C143" s="45">
        <f>C144+C147+C149+C146+C148+C145</f>
        <v>2195</v>
      </c>
    </row>
    <row r="144" spans="1:7" s="10" customFormat="1" ht="26.25" customHeight="1" x14ac:dyDescent="0.2">
      <c r="A144" s="282">
        <f t="shared" si="6"/>
        <v>140</v>
      </c>
      <c r="B144" s="5" t="s">
        <v>124</v>
      </c>
      <c r="C144" s="65">
        <v>155</v>
      </c>
    </row>
    <row r="145" spans="1:8" s="10" customFormat="1" ht="19.5" customHeight="1" x14ac:dyDescent="0.2">
      <c r="A145" s="282">
        <f t="shared" si="6"/>
        <v>141</v>
      </c>
      <c r="B145" s="5" t="s">
        <v>341</v>
      </c>
      <c r="C145" s="65">
        <v>17</v>
      </c>
    </row>
    <row r="146" spans="1:8" ht="14.45" customHeight="1" x14ac:dyDescent="0.25">
      <c r="A146" s="282">
        <f t="shared" si="6"/>
        <v>142</v>
      </c>
      <c r="B146" s="60" t="s">
        <v>351</v>
      </c>
      <c r="C146" s="285">
        <v>113</v>
      </c>
    </row>
    <row r="147" spans="1:8" ht="14.25" customHeight="1" x14ac:dyDescent="0.25">
      <c r="A147" s="282">
        <f t="shared" si="6"/>
        <v>143</v>
      </c>
      <c r="B147" s="3" t="s">
        <v>125</v>
      </c>
      <c r="C147" s="285">
        <v>840</v>
      </c>
    </row>
    <row r="148" spans="1:8" s="10" customFormat="1" ht="19.5" customHeight="1" x14ac:dyDescent="0.2">
      <c r="A148" s="282">
        <f t="shared" si="6"/>
        <v>144</v>
      </c>
      <c r="B148" s="5" t="s">
        <v>274</v>
      </c>
      <c r="C148" s="65">
        <v>160</v>
      </c>
    </row>
    <row r="149" spans="1:8" ht="14.25" customHeight="1" x14ac:dyDescent="0.25">
      <c r="A149" s="282">
        <f t="shared" si="6"/>
        <v>145</v>
      </c>
      <c r="B149" s="3" t="s">
        <v>352</v>
      </c>
      <c r="C149" s="285">
        <v>910</v>
      </c>
    </row>
    <row r="150" spans="1:8" ht="14.1" customHeight="1" x14ac:dyDescent="0.25">
      <c r="A150" s="282">
        <f t="shared" si="6"/>
        <v>146</v>
      </c>
      <c r="B150" s="47" t="s">
        <v>53</v>
      </c>
      <c r="C150" s="45">
        <f>SUM(C116:C149)-C143</f>
        <v>15436.989999999998</v>
      </c>
      <c r="F150" s="48"/>
    </row>
    <row r="151" spans="1:8" ht="14.1" customHeight="1" x14ac:dyDescent="0.25">
      <c r="A151" s="282">
        <f t="shared" si="6"/>
        <v>147</v>
      </c>
      <c r="B151" s="47" t="s">
        <v>4</v>
      </c>
      <c r="C151" s="45">
        <f>C50+C62+C69+C88+C94+C114+C150</f>
        <v>67304.752000000008</v>
      </c>
      <c r="F151" s="48"/>
      <c r="H151" s="48"/>
    </row>
    <row r="152" spans="1:8" x14ac:dyDescent="0.25">
      <c r="B152" s="305"/>
      <c r="C152" s="306"/>
    </row>
    <row r="153" spans="1:8" x14ac:dyDescent="0.25">
      <c r="B153" s="29"/>
      <c r="C153" s="80"/>
    </row>
    <row r="154" spans="1:8" x14ac:dyDescent="0.25">
      <c r="B154" s="44"/>
      <c r="C154" s="109"/>
    </row>
    <row r="155" spans="1:8" x14ac:dyDescent="0.25">
      <c r="B155" s="29"/>
      <c r="C155" s="82"/>
      <c r="F155" s="48"/>
    </row>
    <row r="157" spans="1:8" x14ac:dyDescent="0.25">
      <c r="B157" s="44"/>
    </row>
  </sheetData>
  <mergeCells count="12">
    <mergeCell ref="B115:C115"/>
    <mergeCell ref="A6:C6"/>
    <mergeCell ref="A7:C7"/>
    <mergeCell ref="A10:A12"/>
    <mergeCell ref="B10:B12"/>
    <mergeCell ref="C10:C12"/>
    <mergeCell ref="B70:C70"/>
    <mergeCell ref="B89:C89"/>
    <mergeCell ref="B95:C95"/>
    <mergeCell ref="B13:C13"/>
    <mergeCell ref="B51:C51"/>
    <mergeCell ref="B63:C63"/>
  </mergeCells>
  <pageMargins left="0.31496062992125984" right="0.11811023622047245" top="0.74803149606299213" bottom="0.74803149606299213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6628-FB2A-4088-B04E-6D79104EBE27}">
  <sheetPr>
    <pageSetUpPr fitToPage="1"/>
  </sheetPr>
  <dimension ref="A1:O56"/>
  <sheetViews>
    <sheetView workbookViewId="0">
      <selection activeCell="J38" sqref="J38"/>
    </sheetView>
  </sheetViews>
  <sheetFormatPr defaultRowHeight="15" x14ac:dyDescent="0.25"/>
  <cols>
    <col min="1" max="1" width="2.140625" customWidth="1"/>
    <col min="2" max="2" width="4" customWidth="1"/>
    <col min="3" max="3" width="45.42578125" customWidth="1"/>
    <col min="4" max="4" width="26.28515625" style="6" customWidth="1"/>
    <col min="5" max="5" width="14.7109375" customWidth="1"/>
    <col min="6" max="6" width="8" customWidth="1"/>
    <col min="7" max="7" width="8.140625" customWidth="1"/>
    <col min="8" max="9" width="8.28515625" customWidth="1"/>
    <col min="10" max="10" width="7.28515625" customWidth="1"/>
    <col min="11" max="11" width="6.5703125" customWidth="1"/>
    <col min="12" max="12" width="28.140625" customWidth="1"/>
    <col min="254" max="254" width="2.85546875" customWidth="1"/>
    <col min="255" max="255" width="36.140625" customWidth="1"/>
    <col min="256" max="256" width="19.5703125" customWidth="1"/>
    <col min="257" max="257" width="10.28515625" customWidth="1"/>
    <col min="258" max="258" width="10.42578125" customWidth="1"/>
    <col min="261" max="261" width="12.7109375" customWidth="1"/>
    <col min="510" max="510" width="2.85546875" customWidth="1"/>
    <col min="511" max="511" width="36.140625" customWidth="1"/>
    <col min="512" max="512" width="19.5703125" customWidth="1"/>
    <col min="513" max="513" width="10.28515625" customWidth="1"/>
    <col min="514" max="514" width="10.42578125" customWidth="1"/>
    <col min="517" max="517" width="12.7109375" customWidth="1"/>
    <col min="766" max="766" width="2.85546875" customWidth="1"/>
    <col min="767" max="767" width="36.140625" customWidth="1"/>
    <col min="768" max="768" width="19.5703125" customWidth="1"/>
    <col min="769" max="769" width="10.28515625" customWidth="1"/>
    <col min="770" max="770" width="10.42578125" customWidth="1"/>
    <col min="773" max="773" width="12.7109375" customWidth="1"/>
    <col min="1022" max="1022" width="2.85546875" customWidth="1"/>
    <col min="1023" max="1023" width="36.140625" customWidth="1"/>
    <col min="1024" max="1024" width="19.5703125" customWidth="1"/>
    <col min="1025" max="1025" width="10.28515625" customWidth="1"/>
    <col min="1026" max="1026" width="10.42578125" customWidth="1"/>
    <col min="1029" max="1029" width="12.7109375" customWidth="1"/>
    <col min="1278" max="1278" width="2.85546875" customWidth="1"/>
    <col min="1279" max="1279" width="36.140625" customWidth="1"/>
    <col min="1280" max="1280" width="19.5703125" customWidth="1"/>
    <col min="1281" max="1281" width="10.28515625" customWidth="1"/>
    <col min="1282" max="1282" width="10.42578125" customWidth="1"/>
    <col min="1285" max="1285" width="12.7109375" customWidth="1"/>
    <col min="1534" max="1534" width="2.85546875" customWidth="1"/>
    <col min="1535" max="1535" width="36.140625" customWidth="1"/>
    <col min="1536" max="1536" width="19.5703125" customWidth="1"/>
    <col min="1537" max="1537" width="10.28515625" customWidth="1"/>
    <col min="1538" max="1538" width="10.42578125" customWidth="1"/>
    <col min="1541" max="1541" width="12.7109375" customWidth="1"/>
    <col min="1790" max="1790" width="2.85546875" customWidth="1"/>
    <col min="1791" max="1791" width="36.140625" customWidth="1"/>
    <col min="1792" max="1792" width="19.5703125" customWidth="1"/>
    <col min="1793" max="1793" width="10.28515625" customWidth="1"/>
    <col min="1794" max="1794" width="10.42578125" customWidth="1"/>
    <col min="1797" max="1797" width="12.7109375" customWidth="1"/>
    <col min="2046" max="2046" width="2.85546875" customWidth="1"/>
    <col min="2047" max="2047" width="36.140625" customWidth="1"/>
    <col min="2048" max="2048" width="19.5703125" customWidth="1"/>
    <col min="2049" max="2049" width="10.28515625" customWidth="1"/>
    <col min="2050" max="2050" width="10.42578125" customWidth="1"/>
    <col min="2053" max="2053" width="12.7109375" customWidth="1"/>
    <col min="2302" max="2302" width="2.85546875" customWidth="1"/>
    <col min="2303" max="2303" width="36.140625" customWidth="1"/>
    <col min="2304" max="2304" width="19.5703125" customWidth="1"/>
    <col min="2305" max="2305" width="10.28515625" customWidth="1"/>
    <col min="2306" max="2306" width="10.42578125" customWidth="1"/>
    <col min="2309" max="2309" width="12.7109375" customWidth="1"/>
    <col min="2558" max="2558" width="2.85546875" customWidth="1"/>
    <col min="2559" max="2559" width="36.140625" customWidth="1"/>
    <col min="2560" max="2560" width="19.5703125" customWidth="1"/>
    <col min="2561" max="2561" width="10.28515625" customWidth="1"/>
    <col min="2562" max="2562" width="10.42578125" customWidth="1"/>
    <col min="2565" max="2565" width="12.7109375" customWidth="1"/>
    <col min="2814" max="2814" width="2.85546875" customWidth="1"/>
    <col min="2815" max="2815" width="36.140625" customWidth="1"/>
    <col min="2816" max="2816" width="19.5703125" customWidth="1"/>
    <col min="2817" max="2817" width="10.28515625" customWidth="1"/>
    <col min="2818" max="2818" width="10.42578125" customWidth="1"/>
    <col min="2821" max="2821" width="12.7109375" customWidth="1"/>
    <col min="3070" max="3070" width="2.85546875" customWidth="1"/>
    <col min="3071" max="3071" width="36.140625" customWidth="1"/>
    <col min="3072" max="3072" width="19.5703125" customWidth="1"/>
    <col min="3073" max="3073" width="10.28515625" customWidth="1"/>
    <col min="3074" max="3074" width="10.42578125" customWidth="1"/>
    <col min="3077" max="3077" width="12.7109375" customWidth="1"/>
    <col min="3326" max="3326" width="2.85546875" customWidth="1"/>
    <col min="3327" max="3327" width="36.140625" customWidth="1"/>
    <col min="3328" max="3328" width="19.5703125" customWidth="1"/>
    <col min="3329" max="3329" width="10.28515625" customWidth="1"/>
    <col min="3330" max="3330" width="10.42578125" customWidth="1"/>
    <col min="3333" max="3333" width="12.7109375" customWidth="1"/>
    <col min="3582" max="3582" width="2.85546875" customWidth="1"/>
    <col min="3583" max="3583" width="36.140625" customWidth="1"/>
    <col min="3584" max="3584" width="19.5703125" customWidth="1"/>
    <col min="3585" max="3585" width="10.28515625" customWidth="1"/>
    <col min="3586" max="3586" width="10.42578125" customWidth="1"/>
    <col min="3589" max="3589" width="12.7109375" customWidth="1"/>
    <col min="3838" max="3838" width="2.85546875" customWidth="1"/>
    <col min="3839" max="3839" width="36.140625" customWidth="1"/>
    <col min="3840" max="3840" width="19.5703125" customWidth="1"/>
    <col min="3841" max="3841" width="10.28515625" customWidth="1"/>
    <col min="3842" max="3842" width="10.42578125" customWidth="1"/>
    <col min="3845" max="3845" width="12.7109375" customWidth="1"/>
    <col min="4094" max="4094" width="2.85546875" customWidth="1"/>
    <col min="4095" max="4095" width="36.140625" customWidth="1"/>
    <col min="4096" max="4096" width="19.5703125" customWidth="1"/>
    <col min="4097" max="4097" width="10.28515625" customWidth="1"/>
    <col min="4098" max="4098" width="10.42578125" customWidth="1"/>
    <col min="4101" max="4101" width="12.7109375" customWidth="1"/>
    <col min="4350" max="4350" width="2.85546875" customWidth="1"/>
    <col min="4351" max="4351" width="36.140625" customWidth="1"/>
    <col min="4352" max="4352" width="19.5703125" customWidth="1"/>
    <col min="4353" max="4353" width="10.28515625" customWidth="1"/>
    <col min="4354" max="4354" width="10.42578125" customWidth="1"/>
    <col min="4357" max="4357" width="12.7109375" customWidth="1"/>
    <col min="4606" max="4606" width="2.85546875" customWidth="1"/>
    <col min="4607" max="4607" width="36.140625" customWidth="1"/>
    <col min="4608" max="4608" width="19.5703125" customWidth="1"/>
    <col min="4609" max="4609" width="10.28515625" customWidth="1"/>
    <col min="4610" max="4610" width="10.42578125" customWidth="1"/>
    <col min="4613" max="4613" width="12.7109375" customWidth="1"/>
    <col min="4862" max="4862" width="2.85546875" customWidth="1"/>
    <col min="4863" max="4863" width="36.140625" customWidth="1"/>
    <col min="4864" max="4864" width="19.5703125" customWidth="1"/>
    <col min="4865" max="4865" width="10.28515625" customWidth="1"/>
    <col min="4866" max="4866" width="10.42578125" customWidth="1"/>
    <col min="4869" max="4869" width="12.7109375" customWidth="1"/>
    <col min="5118" max="5118" width="2.85546875" customWidth="1"/>
    <col min="5119" max="5119" width="36.140625" customWidth="1"/>
    <col min="5120" max="5120" width="19.5703125" customWidth="1"/>
    <col min="5121" max="5121" width="10.28515625" customWidth="1"/>
    <col min="5122" max="5122" width="10.42578125" customWidth="1"/>
    <col min="5125" max="5125" width="12.7109375" customWidth="1"/>
    <col min="5374" max="5374" width="2.85546875" customWidth="1"/>
    <col min="5375" max="5375" width="36.140625" customWidth="1"/>
    <col min="5376" max="5376" width="19.5703125" customWidth="1"/>
    <col min="5377" max="5377" width="10.28515625" customWidth="1"/>
    <col min="5378" max="5378" width="10.42578125" customWidth="1"/>
    <col min="5381" max="5381" width="12.7109375" customWidth="1"/>
    <col min="5630" max="5630" width="2.85546875" customWidth="1"/>
    <col min="5631" max="5631" width="36.140625" customWidth="1"/>
    <col min="5632" max="5632" width="19.5703125" customWidth="1"/>
    <col min="5633" max="5633" width="10.28515625" customWidth="1"/>
    <col min="5634" max="5634" width="10.42578125" customWidth="1"/>
    <col min="5637" max="5637" width="12.7109375" customWidth="1"/>
    <col min="5886" max="5886" width="2.85546875" customWidth="1"/>
    <col min="5887" max="5887" width="36.140625" customWidth="1"/>
    <col min="5888" max="5888" width="19.5703125" customWidth="1"/>
    <col min="5889" max="5889" width="10.28515625" customWidth="1"/>
    <col min="5890" max="5890" width="10.42578125" customWidth="1"/>
    <col min="5893" max="5893" width="12.7109375" customWidth="1"/>
    <col min="6142" max="6142" width="2.85546875" customWidth="1"/>
    <col min="6143" max="6143" width="36.140625" customWidth="1"/>
    <col min="6144" max="6144" width="19.5703125" customWidth="1"/>
    <col min="6145" max="6145" width="10.28515625" customWidth="1"/>
    <col min="6146" max="6146" width="10.42578125" customWidth="1"/>
    <col min="6149" max="6149" width="12.7109375" customWidth="1"/>
    <col min="6398" max="6398" width="2.85546875" customWidth="1"/>
    <col min="6399" max="6399" width="36.140625" customWidth="1"/>
    <col min="6400" max="6400" width="19.5703125" customWidth="1"/>
    <col min="6401" max="6401" width="10.28515625" customWidth="1"/>
    <col min="6402" max="6402" width="10.42578125" customWidth="1"/>
    <col min="6405" max="6405" width="12.7109375" customWidth="1"/>
    <col min="6654" max="6654" width="2.85546875" customWidth="1"/>
    <col min="6655" max="6655" width="36.140625" customWidth="1"/>
    <col min="6656" max="6656" width="19.5703125" customWidth="1"/>
    <col min="6657" max="6657" width="10.28515625" customWidth="1"/>
    <col min="6658" max="6658" width="10.42578125" customWidth="1"/>
    <col min="6661" max="6661" width="12.7109375" customWidth="1"/>
    <col min="6910" max="6910" width="2.85546875" customWidth="1"/>
    <col min="6911" max="6911" width="36.140625" customWidth="1"/>
    <col min="6912" max="6912" width="19.5703125" customWidth="1"/>
    <col min="6913" max="6913" width="10.28515625" customWidth="1"/>
    <col min="6914" max="6914" width="10.42578125" customWidth="1"/>
    <col min="6917" max="6917" width="12.7109375" customWidth="1"/>
    <col min="7166" max="7166" width="2.85546875" customWidth="1"/>
    <col min="7167" max="7167" width="36.140625" customWidth="1"/>
    <col min="7168" max="7168" width="19.5703125" customWidth="1"/>
    <col min="7169" max="7169" width="10.28515625" customWidth="1"/>
    <col min="7170" max="7170" width="10.42578125" customWidth="1"/>
    <col min="7173" max="7173" width="12.7109375" customWidth="1"/>
    <col min="7422" max="7422" width="2.85546875" customWidth="1"/>
    <col min="7423" max="7423" width="36.140625" customWidth="1"/>
    <col min="7424" max="7424" width="19.5703125" customWidth="1"/>
    <col min="7425" max="7425" width="10.28515625" customWidth="1"/>
    <col min="7426" max="7426" width="10.42578125" customWidth="1"/>
    <col min="7429" max="7429" width="12.7109375" customWidth="1"/>
    <col min="7678" max="7678" width="2.85546875" customWidth="1"/>
    <col min="7679" max="7679" width="36.140625" customWidth="1"/>
    <col min="7680" max="7680" width="19.5703125" customWidth="1"/>
    <col min="7681" max="7681" width="10.28515625" customWidth="1"/>
    <col min="7682" max="7682" width="10.42578125" customWidth="1"/>
    <col min="7685" max="7685" width="12.7109375" customWidth="1"/>
    <col min="7934" max="7934" width="2.85546875" customWidth="1"/>
    <col min="7935" max="7935" width="36.140625" customWidth="1"/>
    <col min="7936" max="7936" width="19.5703125" customWidth="1"/>
    <col min="7937" max="7937" width="10.28515625" customWidth="1"/>
    <col min="7938" max="7938" width="10.42578125" customWidth="1"/>
    <col min="7941" max="7941" width="12.7109375" customWidth="1"/>
    <col min="8190" max="8190" width="2.85546875" customWidth="1"/>
    <col min="8191" max="8191" width="36.140625" customWidth="1"/>
    <col min="8192" max="8192" width="19.5703125" customWidth="1"/>
    <col min="8193" max="8193" width="10.28515625" customWidth="1"/>
    <col min="8194" max="8194" width="10.42578125" customWidth="1"/>
    <col min="8197" max="8197" width="12.7109375" customWidth="1"/>
    <col min="8446" max="8446" width="2.85546875" customWidth="1"/>
    <col min="8447" max="8447" width="36.140625" customWidth="1"/>
    <col min="8448" max="8448" width="19.5703125" customWidth="1"/>
    <col min="8449" max="8449" width="10.28515625" customWidth="1"/>
    <col min="8450" max="8450" width="10.42578125" customWidth="1"/>
    <col min="8453" max="8453" width="12.7109375" customWidth="1"/>
    <col min="8702" max="8702" width="2.85546875" customWidth="1"/>
    <col min="8703" max="8703" width="36.140625" customWidth="1"/>
    <col min="8704" max="8704" width="19.5703125" customWidth="1"/>
    <col min="8705" max="8705" width="10.28515625" customWidth="1"/>
    <col min="8706" max="8706" width="10.42578125" customWidth="1"/>
    <col min="8709" max="8709" width="12.7109375" customWidth="1"/>
    <col min="8958" max="8958" width="2.85546875" customWidth="1"/>
    <col min="8959" max="8959" width="36.140625" customWidth="1"/>
    <col min="8960" max="8960" width="19.5703125" customWidth="1"/>
    <col min="8961" max="8961" width="10.28515625" customWidth="1"/>
    <col min="8962" max="8962" width="10.42578125" customWidth="1"/>
    <col min="8965" max="8965" width="12.7109375" customWidth="1"/>
    <col min="9214" max="9214" width="2.85546875" customWidth="1"/>
    <col min="9215" max="9215" width="36.140625" customWidth="1"/>
    <col min="9216" max="9216" width="19.5703125" customWidth="1"/>
    <col min="9217" max="9217" width="10.28515625" customWidth="1"/>
    <col min="9218" max="9218" width="10.42578125" customWidth="1"/>
    <col min="9221" max="9221" width="12.7109375" customWidth="1"/>
    <col min="9470" max="9470" width="2.85546875" customWidth="1"/>
    <col min="9471" max="9471" width="36.140625" customWidth="1"/>
    <col min="9472" max="9472" width="19.5703125" customWidth="1"/>
    <col min="9473" max="9473" width="10.28515625" customWidth="1"/>
    <col min="9474" max="9474" width="10.42578125" customWidth="1"/>
    <col min="9477" max="9477" width="12.7109375" customWidth="1"/>
    <col min="9726" max="9726" width="2.85546875" customWidth="1"/>
    <col min="9727" max="9727" width="36.140625" customWidth="1"/>
    <col min="9728" max="9728" width="19.5703125" customWidth="1"/>
    <col min="9729" max="9729" width="10.28515625" customWidth="1"/>
    <col min="9730" max="9730" width="10.42578125" customWidth="1"/>
    <col min="9733" max="9733" width="12.7109375" customWidth="1"/>
    <col min="9982" max="9982" width="2.85546875" customWidth="1"/>
    <col min="9983" max="9983" width="36.140625" customWidth="1"/>
    <col min="9984" max="9984" width="19.5703125" customWidth="1"/>
    <col min="9985" max="9985" width="10.28515625" customWidth="1"/>
    <col min="9986" max="9986" width="10.42578125" customWidth="1"/>
    <col min="9989" max="9989" width="12.7109375" customWidth="1"/>
    <col min="10238" max="10238" width="2.85546875" customWidth="1"/>
    <col min="10239" max="10239" width="36.140625" customWidth="1"/>
    <col min="10240" max="10240" width="19.5703125" customWidth="1"/>
    <col min="10241" max="10241" width="10.28515625" customWidth="1"/>
    <col min="10242" max="10242" width="10.42578125" customWidth="1"/>
    <col min="10245" max="10245" width="12.7109375" customWidth="1"/>
    <col min="10494" max="10494" width="2.85546875" customWidth="1"/>
    <col min="10495" max="10495" width="36.140625" customWidth="1"/>
    <col min="10496" max="10496" width="19.5703125" customWidth="1"/>
    <col min="10497" max="10497" width="10.28515625" customWidth="1"/>
    <col min="10498" max="10498" width="10.42578125" customWidth="1"/>
    <col min="10501" max="10501" width="12.7109375" customWidth="1"/>
    <col min="10750" max="10750" width="2.85546875" customWidth="1"/>
    <col min="10751" max="10751" width="36.140625" customWidth="1"/>
    <col min="10752" max="10752" width="19.5703125" customWidth="1"/>
    <col min="10753" max="10753" width="10.28515625" customWidth="1"/>
    <col min="10754" max="10754" width="10.42578125" customWidth="1"/>
    <col min="10757" max="10757" width="12.7109375" customWidth="1"/>
    <col min="11006" max="11006" width="2.85546875" customWidth="1"/>
    <col min="11007" max="11007" width="36.140625" customWidth="1"/>
    <col min="11008" max="11008" width="19.5703125" customWidth="1"/>
    <col min="11009" max="11009" width="10.28515625" customWidth="1"/>
    <col min="11010" max="11010" width="10.42578125" customWidth="1"/>
    <col min="11013" max="11013" width="12.7109375" customWidth="1"/>
    <col min="11262" max="11262" width="2.85546875" customWidth="1"/>
    <col min="11263" max="11263" width="36.140625" customWidth="1"/>
    <col min="11264" max="11264" width="19.5703125" customWidth="1"/>
    <col min="11265" max="11265" width="10.28515625" customWidth="1"/>
    <col min="11266" max="11266" width="10.42578125" customWidth="1"/>
    <col min="11269" max="11269" width="12.7109375" customWidth="1"/>
    <col min="11518" max="11518" width="2.85546875" customWidth="1"/>
    <col min="11519" max="11519" width="36.140625" customWidth="1"/>
    <col min="11520" max="11520" width="19.5703125" customWidth="1"/>
    <col min="11521" max="11521" width="10.28515625" customWidth="1"/>
    <col min="11522" max="11522" width="10.42578125" customWidth="1"/>
    <col min="11525" max="11525" width="12.7109375" customWidth="1"/>
    <col min="11774" max="11774" width="2.85546875" customWidth="1"/>
    <col min="11775" max="11775" width="36.140625" customWidth="1"/>
    <col min="11776" max="11776" width="19.5703125" customWidth="1"/>
    <col min="11777" max="11777" width="10.28515625" customWidth="1"/>
    <col min="11778" max="11778" width="10.42578125" customWidth="1"/>
    <col min="11781" max="11781" width="12.7109375" customWidth="1"/>
    <col min="12030" max="12030" width="2.85546875" customWidth="1"/>
    <col min="12031" max="12031" width="36.140625" customWidth="1"/>
    <col min="12032" max="12032" width="19.5703125" customWidth="1"/>
    <col min="12033" max="12033" width="10.28515625" customWidth="1"/>
    <col min="12034" max="12034" width="10.42578125" customWidth="1"/>
    <col min="12037" max="12037" width="12.7109375" customWidth="1"/>
    <col min="12286" max="12286" width="2.85546875" customWidth="1"/>
    <col min="12287" max="12287" width="36.140625" customWidth="1"/>
    <col min="12288" max="12288" width="19.5703125" customWidth="1"/>
    <col min="12289" max="12289" width="10.28515625" customWidth="1"/>
    <col min="12290" max="12290" width="10.42578125" customWidth="1"/>
    <col min="12293" max="12293" width="12.7109375" customWidth="1"/>
    <col min="12542" max="12542" width="2.85546875" customWidth="1"/>
    <col min="12543" max="12543" width="36.140625" customWidth="1"/>
    <col min="12544" max="12544" width="19.5703125" customWidth="1"/>
    <col min="12545" max="12545" width="10.28515625" customWidth="1"/>
    <col min="12546" max="12546" width="10.42578125" customWidth="1"/>
    <col min="12549" max="12549" width="12.7109375" customWidth="1"/>
    <col min="12798" max="12798" width="2.85546875" customWidth="1"/>
    <col min="12799" max="12799" width="36.140625" customWidth="1"/>
    <col min="12800" max="12800" width="19.5703125" customWidth="1"/>
    <col min="12801" max="12801" width="10.28515625" customWidth="1"/>
    <col min="12802" max="12802" width="10.42578125" customWidth="1"/>
    <col min="12805" max="12805" width="12.7109375" customWidth="1"/>
    <col min="13054" max="13054" width="2.85546875" customWidth="1"/>
    <col min="13055" max="13055" width="36.140625" customWidth="1"/>
    <col min="13056" max="13056" width="19.5703125" customWidth="1"/>
    <col min="13057" max="13057" width="10.28515625" customWidth="1"/>
    <col min="13058" max="13058" width="10.42578125" customWidth="1"/>
    <col min="13061" max="13061" width="12.7109375" customWidth="1"/>
    <col min="13310" max="13310" width="2.85546875" customWidth="1"/>
    <col min="13311" max="13311" width="36.140625" customWidth="1"/>
    <col min="13312" max="13312" width="19.5703125" customWidth="1"/>
    <col min="13313" max="13313" width="10.28515625" customWidth="1"/>
    <col min="13314" max="13314" width="10.42578125" customWidth="1"/>
    <col min="13317" max="13317" width="12.7109375" customWidth="1"/>
    <col min="13566" max="13566" width="2.85546875" customWidth="1"/>
    <col min="13567" max="13567" width="36.140625" customWidth="1"/>
    <col min="13568" max="13568" width="19.5703125" customWidth="1"/>
    <col min="13569" max="13569" width="10.28515625" customWidth="1"/>
    <col min="13570" max="13570" width="10.42578125" customWidth="1"/>
    <col min="13573" max="13573" width="12.7109375" customWidth="1"/>
    <col min="13822" max="13822" width="2.85546875" customWidth="1"/>
    <col min="13823" max="13823" width="36.140625" customWidth="1"/>
    <col min="13824" max="13824" width="19.5703125" customWidth="1"/>
    <col min="13825" max="13825" width="10.28515625" customWidth="1"/>
    <col min="13826" max="13826" width="10.42578125" customWidth="1"/>
    <col min="13829" max="13829" width="12.7109375" customWidth="1"/>
    <col min="14078" max="14078" width="2.85546875" customWidth="1"/>
    <col min="14079" max="14079" width="36.140625" customWidth="1"/>
    <col min="14080" max="14080" width="19.5703125" customWidth="1"/>
    <col min="14081" max="14081" width="10.28515625" customWidth="1"/>
    <col min="14082" max="14082" width="10.42578125" customWidth="1"/>
    <col min="14085" max="14085" width="12.7109375" customWidth="1"/>
    <col min="14334" max="14334" width="2.85546875" customWidth="1"/>
    <col min="14335" max="14335" width="36.140625" customWidth="1"/>
    <col min="14336" max="14336" width="19.5703125" customWidth="1"/>
    <col min="14337" max="14337" width="10.28515625" customWidth="1"/>
    <col min="14338" max="14338" width="10.42578125" customWidth="1"/>
    <col min="14341" max="14341" width="12.7109375" customWidth="1"/>
    <col min="14590" max="14590" width="2.85546875" customWidth="1"/>
    <col min="14591" max="14591" width="36.140625" customWidth="1"/>
    <col min="14592" max="14592" width="19.5703125" customWidth="1"/>
    <col min="14593" max="14593" width="10.28515625" customWidth="1"/>
    <col min="14594" max="14594" width="10.42578125" customWidth="1"/>
    <col min="14597" max="14597" width="12.7109375" customWidth="1"/>
    <col min="14846" max="14846" width="2.85546875" customWidth="1"/>
    <col min="14847" max="14847" width="36.140625" customWidth="1"/>
    <col min="14848" max="14848" width="19.5703125" customWidth="1"/>
    <col min="14849" max="14849" width="10.28515625" customWidth="1"/>
    <col min="14850" max="14850" width="10.42578125" customWidth="1"/>
    <col min="14853" max="14853" width="12.7109375" customWidth="1"/>
    <col min="15102" max="15102" width="2.85546875" customWidth="1"/>
    <col min="15103" max="15103" width="36.140625" customWidth="1"/>
    <col min="15104" max="15104" width="19.5703125" customWidth="1"/>
    <col min="15105" max="15105" width="10.28515625" customWidth="1"/>
    <col min="15106" max="15106" width="10.42578125" customWidth="1"/>
    <col min="15109" max="15109" width="12.7109375" customWidth="1"/>
    <col min="15358" max="15358" width="2.85546875" customWidth="1"/>
    <col min="15359" max="15359" width="36.140625" customWidth="1"/>
    <col min="15360" max="15360" width="19.5703125" customWidth="1"/>
    <col min="15361" max="15361" width="10.28515625" customWidth="1"/>
    <col min="15362" max="15362" width="10.42578125" customWidth="1"/>
    <col min="15365" max="15365" width="12.7109375" customWidth="1"/>
    <col min="15614" max="15614" width="2.85546875" customWidth="1"/>
    <col min="15615" max="15615" width="36.140625" customWidth="1"/>
    <col min="15616" max="15616" width="19.5703125" customWidth="1"/>
    <col min="15617" max="15617" width="10.28515625" customWidth="1"/>
    <col min="15618" max="15618" width="10.42578125" customWidth="1"/>
    <col min="15621" max="15621" width="12.7109375" customWidth="1"/>
    <col min="15870" max="15870" width="2.85546875" customWidth="1"/>
    <col min="15871" max="15871" width="36.140625" customWidth="1"/>
    <col min="15872" max="15872" width="19.5703125" customWidth="1"/>
    <col min="15873" max="15873" width="10.28515625" customWidth="1"/>
    <col min="15874" max="15874" width="10.42578125" customWidth="1"/>
    <col min="15877" max="15877" width="12.7109375" customWidth="1"/>
    <col min="16126" max="16126" width="2.85546875" customWidth="1"/>
    <col min="16127" max="16127" width="36.140625" customWidth="1"/>
    <col min="16128" max="16128" width="19.5703125" customWidth="1"/>
    <col min="16129" max="16129" width="10.28515625" customWidth="1"/>
    <col min="16130" max="16130" width="10.42578125" customWidth="1"/>
    <col min="16133" max="16133" width="12.7109375" customWidth="1"/>
  </cols>
  <sheetData>
    <row r="1" spans="1:9" x14ac:dyDescent="0.25">
      <c r="E1" s="26" t="s">
        <v>0</v>
      </c>
    </row>
    <row r="2" spans="1:9" ht="15" customHeight="1" x14ac:dyDescent="0.25">
      <c r="E2" s="26" t="s">
        <v>390</v>
      </c>
    </row>
    <row r="3" spans="1:9" x14ac:dyDescent="0.25">
      <c r="E3" s="26" t="s">
        <v>383</v>
      </c>
    </row>
    <row r="4" spans="1:9" x14ac:dyDescent="0.25">
      <c r="E4" s="2" t="s">
        <v>158</v>
      </c>
    </row>
    <row r="6" spans="1:9" ht="15.75" customHeight="1" x14ac:dyDescent="0.25">
      <c r="A6" s="505" t="s">
        <v>404</v>
      </c>
      <c r="B6" s="505"/>
      <c r="C6" s="505"/>
      <c r="D6" s="505"/>
      <c r="E6" s="505"/>
      <c r="F6" s="505"/>
      <c r="G6" s="4"/>
      <c r="H6" s="4"/>
    </row>
    <row r="7" spans="1:9" ht="15.75" x14ac:dyDescent="0.25">
      <c r="B7" s="4"/>
      <c r="C7" s="66"/>
    </row>
    <row r="8" spans="1:9" ht="15.75" x14ac:dyDescent="0.25">
      <c r="B8" s="4"/>
      <c r="C8" s="66"/>
      <c r="E8" s="67" t="s">
        <v>1</v>
      </c>
    </row>
    <row r="9" spans="1:9" x14ac:dyDescent="0.25">
      <c r="B9" s="506" t="s">
        <v>192</v>
      </c>
      <c r="C9" s="508" t="s">
        <v>159</v>
      </c>
      <c r="D9" s="508" t="s">
        <v>160</v>
      </c>
      <c r="E9" s="508" t="s">
        <v>41</v>
      </c>
    </row>
    <row r="10" spans="1:9" x14ac:dyDescent="0.25">
      <c r="B10" s="507"/>
      <c r="C10" s="508"/>
      <c r="D10" s="508"/>
      <c r="E10" s="508"/>
      <c r="G10" s="308"/>
    </row>
    <row r="11" spans="1:9" ht="38.25" customHeight="1" x14ac:dyDescent="0.25">
      <c r="B11" s="507"/>
      <c r="C11" s="508"/>
      <c r="D11" s="508"/>
      <c r="E11" s="508"/>
      <c r="F11" s="309"/>
      <c r="G11" s="310"/>
    </row>
    <row r="12" spans="1:9" x14ac:dyDescent="0.25">
      <c r="B12" s="311">
        <v>1</v>
      </c>
      <c r="C12" s="509" t="s">
        <v>42</v>
      </c>
      <c r="D12" s="510"/>
      <c r="E12" s="511"/>
      <c r="F12" s="309"/>
      <c r="G12" s="310"/>
    </row>
    <row r="13" spans="1:9" s="9" customFormat="1" ht="25.5" x14ac:dyDescent="0.25">
      <c r="B13" s="68">
        <v>2</v>
      </c>
      <c r="C13" s="5" t="s">
        <v>161</v>
      </c>
      <c r="D13" s="69" t="s">
        <v>43</v>
      </c>
      <c r="E13" s="70">
        <v>0.62</v>
      </c>
      <c r="F13" s="312"/>
      <c r="G13" s="313"/>
      <c r="I13" s="12"/>
    </row>
    <row r="14" spans="1:9" s="9" customFormat="1" ht="20.100000000000001" customHeight="1" x14ac:dyDescent="0.25">
      <c r="B14" s="311">
        <v>3</v>
      </c>
      <c r="C14" s="5" t="s">
        <v>162</v>
      </c>
      <c r="D14" s="69" t="s">
        <v>43</v>
      </c>
      <c r="E14" s="70">
        <f>+E15+E16</f>
        <v>3.7</v>
      </c>
      <c r="F14" s="314"/>
      <c r="G14" s="313"/>
    </row>
    <row r="15" spans="1:9" s="9" customFormat="1" ht="18" customHeight="1" x14ac:dyDescent="0.25">
      <c r="B15" s="68">
        <v>4</v>
      </c>
      <c r="C15" s="315" t="s">
        <v>44</v>
      </c>
      <c r="D15" s="69" t="s">
        <v>43</v>
      </c>
      <c r="E15" s="70">
        <v>1.85</v>
      </c>
      <c r="F15" s="12"/>
      <c r="G15" s="12"/>
      <c r="I15" s="12"/>
    </row>
    <row r="16" spans="1:9" s="9" customFormat="1" ht="18" customHeight="1" x14ac:dyDescent="0.25">
      <c r="B16" s="311">
        <v>5</v>
      </c>
      <c r="C16" s="315" t="s">
        <v>45</v>
      </c>
      <c r="D16" s="69" t="s">
        <v>43</v>
      </c>
      <c r="E16" s="70">
        <v>1.85</v>
      </c>
      <c r="F16" s="12"/>
      <c r="G16" s="12"/>
      <c r="I16" s="12"/>
    </row>
    <row r="17" spans="2:13" s="9" customFormat="1" ht="20.100000000000001" customHeight="1" x14ac:dyDescent="0.25">
      <c r="B17" s="311">
        <v>6</v>
      </c>
      <c r="C17" s="5" t="s">
        <v>163</v>
      </c>
      <c r="D17" s="69" t="s">
        <v>43</v>
      </c>
      <c r="E17" s="70">
        <v>31</v>
      </c>
      <c r="F17" s="313"/>
      <c r="G17" s="313"/>
      <c r="I17" s="12"/>
    </row>
    <row r="18" spans="2:13" s="9" customFormat="1" ht="20.100000000000001" customHeight="1" x14ac:dyDescent="0.25">
      <c r="B18" s="68">
        <v>7</v>
      </c>
      <c r="C18" s="5" t="s">
        <v>164</v>
      </c>
      <c r="D18" s="69" t="s">
        <v>43</v>
      </c>
      <c r="E18" s="70">
        <v>45.9</v>
      </c>
      <c r="F18" s="316"/>
      <c r="G18" s="317"/>
      <c r="H18" s="1"/>
      <c r="I18" s="1"/>
      <c r="J18" s="318"/>
      <c r="K18" s="1"/>
    </row>
    <row r="19" spans="2:13" s="9" customFormat="1" ht="20.100000000000001" customHeight="1" x14ac:dyDescent="0.25">
      <c r="B19" s="311">
        <v>8</v>
      </c>
      <c r="C19" s="5" t="s">
        <v>165</v>
      </c>
      <c r="D19" s="69" t="s">
        <v>43</v>
      </c>
      <c r="E19" s="70">
        <v>12.9</v>
      </c>
      <c r="F19" s="319"/>
      <c r="G19" s="313"/>
      <c r="I19" s="12"/>
    </row>
    <row r="20" spans="2:13" s="9" customFormat="1" ht="23.25" customHeight="1" x14ac:dyDescent="0.25">
      <c r="B20" s="68">
        <v>9</v>
      </c>
      <c r="C20" s="5" t="s">
        <v>166</v>
      </c>
      <c r="D20" s="69" t="s">
        <v>43</v>
      </c>
      <c r="E20" s="70">
        <v>9</v>
      </c>
      <c r="F20" s="320"/>
      <c r="G20" s="319"/>
      <c r="I20" s="12"/>
    </row>
    <row r="21" spans="2:13" s="9" customFormat="1" ht="20.100000000000001" customHeight="1" x14ac:dyDescent="0.25">
      <c r="B21" s="311">
        <v>10</v>
      </c>
      <c r="C21" s="5" t="s">
        <v>167</v>
      </c>
      <c r="D21" s="69" t="s">
        <v>43</v>
      </c>
      <c r="E21" s="70">
        <v>151</v>
      </c>
      <c r="F21" s="313"/>
      <c r="G21" s="313"/>
      <c r="H21" s="1"/>
      <c r="I21" s="1"/>
      <c r="J21" s="318"/>
      <c r="K21" s="1"/>
      <c r="M21" s="24"/>
    </row>
    <row r="22" spans="2:13" s="9" customFormat="1" ht="20.100000000000001" customHeight="1" x14ac:dyDescent="0.25">
      <c r="B22" s="311">
        <v>11</v>
      </c>
      <c r="C22" s="5" t="s">
        <v>168</v>
      </c>
      <c r="D22" s="69" t="s">
        <v>43</v>
      </c>
      <c r="E22" s="70">
        <v>74.400000000000006</v>
      </c>
      <c r="F22" s="313"/>
      <c r="G22" s="313"/>
      <c r="H22" s="1"/>
      <c r="I22" s="1"/>
      <c r="J22" s="318"/>
      <c r="K22" s="1"/>
    </row>
    <row r="23" spans="2:13" s="9" customFormat="1" ht="20.100000000000001" customHeight="1" x14ac:dyDescent="0.25">
      <c r="B23" s="68">
        <v>12</v>
      </c>
      <c r="C23" s="5" t="s">
        <v>169</v>
      </c>
      <c r="D23" s="69" t="s">
        <v>43</v>
      </c>
      <c r="E23" s="70">
        <v>19.5</v>
      </c>
      <c r="F23" s="319"/>
      <c r="G23" s="320"/>
      <c r="I23" s="12"/>
    </row>
    <row r="24" spans="2:13" s="9" customFormat="1" ht="25.5" x14ac:dyDescent="0.25">
      <c r="B24" s="311">
        <v>13</v>
      </c>
      <c r="C24" s="5" t="s">
        <v>432</v>
      </c>
      <c r="D24" s="69" t="s">
        <v>43</v>
      </c>
      <c r="E24" s="70">
        <v>55.3</v>
      </c>
      <c r="F24" s="319"/>
      <c r="G24" s="320"/>
      <c r="I24" s="12"/>
    </row>
    <row r="25" spans="2:13" s="9" customFormat="1" ht="30" customHeight="1" x14ac:dyDescent="0.25">
      <c r="B25" s="68">
        <v>14</v>
      </c>
      <c r="C25" s="5" t="s">
        <v>170</v>
      </c>
      <c r="D25" s="69" t="s">
        <v>43</v>
      </c>
      <c r="E25" s="65">
        <f>+E26+E27+E28+E29+E30+E31+E32+E33+E34</f>
        <v>158.1</v>
      </c>
      <c r="F25" s="321"/>
      <c r="G25" s="313"/>
      <c r="I25" s="12"/>
    </row>
    <row r="26" spans="2:13" s="9" customFormat="1" ht="20.100000000000001" customHeight="1" x14ac:dyDescent="0.25">
      <c r="B26" s="311">
        <v>15</v>
      </c>
      <c r="C26" s="315" t="s">
        <v>46</v>
      </c>
      <c r="D26" s="69" t="s">
        <v>43</v>
      </c>
      <c r="E26" s="70">
        <v>6.08</v>
      </c>
      <c r="F26" s="322"/>
      <c r="G26" s="319"/>
      <c r="I26" s="12"/>
    </row>
    <row r="27" spans="2:13" s="9" customFormat="1" ht="20.100000000000001" customHeight="1" x14ac:dyDescent="0.25">
      <c r="B27" s="311">
        <v>16</v>
      </c>
      <c r="C27" s="315" t="s">
        <v>47</v>
      </c>
      <c r="D27" s="69" t="s">
        <v>43</v>
      </c>
      <c r="E27" s="70">
        <v>4.056</v>
      </c>
      <c r="F27" s="319"/>
      <c r="G27" s="319"/>
      <c r="I27" s="12"/>
    </row>
    <row r="28" spans="2:13" s="9" customFormat="1" ht="20.100000000000001" customHeight="1" x14ac:dyDescent="0.25">
      <c r="B28" s="68">
        <v>17</v>
      </c>
      <c r="C28" s="315" t="s">
        <v>44</v>
      </c>
      <c r="D28" s="69" t="s">
        <v>43</v>
      </c>
      <c r="E28" s="70">
        <v>10.135</v>
      </c>
      <c r="F28" s="319"/>
      <c r="G28" s="319"/>
      <c r="I28" s="12"/>
    </row>
    <row r="29" spans="2:13" s="9" customFormat="1" ht="20.100000000000001" customHeight="1" x14ac:dyDescent="0.25">
      <c r="B29" s="311">
        <v>18</v>
      </c>
      <c r="C29" s="315" t="s">
        <v>48</v>
      </c>
      <c r="D29" s="69" t="s">
        <v>43</v>
      </c>
      <c r="E29" s="70">
        <v>10.135</v>
      </c>
      <c r="F29" s="319"/>
      <c r="G29" s="319"/>
      <c r="I29" s="12"/>
    </row>
    <row r="30" spans="2:13" s="9" customFormat="1" ht="20.100000000000001" customHeight="1" x14ac:dyDescent="0.25">
      <c r="B30" s="68">
        <v>19</v>
      </c>
      <c r="C30" s="315" t="s">
        <v>49</v>
      </c>
      <c r="D30" s="69" t="s">
        <v>43</v>
      </c>
      <c r="E30" s="70">
        <v>6.08</v>
      </c>
      <c r="F30" s="319"/>
      <c r="G30" s="319"/>
      <c r="I30" s="12"/>
    </row>
    <row r="31" spans="2:13" s="9" customFormat="1" ht="20.100000000000001" customHeight="1" x14ac:dyDescent="0.25">
      <c r="B31" s="311">
        <v>20</v>
      </c>
      <c r="C31" s="315" t="s">
        <v>50</v>
      </c>
      <c r="D31" s="69" t="s">
        <v>43</v>
      </c>
      <c r="E31" s="70">
        <v>6.08</v>
      </c>
      <c r="F31" s="319"/>
      <c r="G31" s="319"/>
      <c r="I31" s="12"/>
    </row>
    <row r="32" spans="2:13" s="9" customFormat="1" ht="20.100000000000001" customHeight="1" x14ac:dyDescent="0.25">
      <c r="B32" s="311">
        <v>21</v>
      </c>
      <c r="C32" s="315" t="s">
        <v>51</v>
      </c>
      <c r="D32" s="69" t="s">
        <v>43</v>
      </c>
      <c r="E32" s="70">
        <v>6.08</v>
      </c>
      <c r="F32" s="319"/>
      <c r="G32" s="319"/>
      <c r="I32" s="12"/>
    </row>
    <row r="33" spans="2:15" s="9" customFormat="1" ht="20.100000000000001" customHeight="1" x14ac:dyDescent="0.25">
      <c r="B33" s="68">
        <v>22</v>
      </c>
      <c r="C33" s="315" t="s">
        <v>45</v>
      </c>
      <c r="D33" s="69" t="s">
        <v>43</v>
      </c>
      <c r="E33" s="70">
        <v>12.162000000000001</v>
      </c>
      <c r="F33" s="319"/>
      <c r="G33" s="319"/>
      <c r="I33" s="12"/>
    </row>
    <row r="34" spans="2:15" s="9" customFormat="1" ht="20.100000000000001" customHeight="1" x14ac:dyDescent="0.25">
      <c r="B34" s="311">
        <v>23</v>
      </c>
      <c r="C34" s="315" t="s">
        <v>43</v>
      </c>
      <c r="D34" s="69" t="s">
        <v>43</v>
      </c>
      <c r="E34" s="70">
        <v>97.292000000000002</v>
      </c>
      <c r="F34" s="319"/>
      <c r="G34" s="313"/>
      <c r="I34" s="12"/>
    </row>
    <row r="35" spans="2:15" s="9" customFormat="1" ht="20.100000000000001" customHeight="1" x14ac:dyDescent="0.25">
      <c r="B35" s="68">
        <v>24</v>
      </c>
      <c r="C35" s="5" t="s">
        <v>319</v>
      </c>
      <c r="D35" s="69" t="s">
        <v>43</v>
      </c>
      <c r="E35" s="70">
        <v>3.26</v>
      </c>
      <c r="F35" s="313"/>
      <c r="G35" s="313"/>
      <c r="I35" s="12"/>
    </row>
    <row r="36" spans="2:15" s="9" customFormat="1" ht="24" customHeight="1" x14ac:dyDescent="0.25">
      <c r="B36" s="311">
        <v>25</v>
      </c>
      <c r="C36" s="5" t="s">
        <v>171</v>
      </c>
      <c r="D36" s="69" t="s">
        <v>52</v>
      </c>
      <c r="E36" s="70">
        <f>900.1</f>
        <v>900.1</v>
      </c>
      <c r="F36" s="323"/>
      <c r="G36" s="324"/>
      <c r="H36" s="1"/>
      <c r="I36" s="1"/>
      <c r="J36" s="318"/>
      <c r="K36" s="1"/>
    </row>
    <row r="37" spans="2:15" s="9" customFormat="1" ht="24" customHeight="1" x14ac:dyDescent="0.25">
      <c r="B37" s="311">
        <v>26</v>
      </c>
      <c r="C37" s="5" t="s">
        <v>430</v>
      </c>
      <c r="D37" s="69" t="s">
        <v>43</v>
      </c>
      <c r="E37" s="70">
        <v>38.595999999999997</v>
      </c>
      <c r="F37" s="323"/>
      <c r="G37" s="324"/>
      <c r="H37" s="1"/>
      <c r="I37" s="1"/>
      <c r="J37" s="318"/>
      <c r="K37" s="1"/>
    </row>
    <row r="38" spans="2:15" s="9" customFormat="1" x14ac:dyDescent="0.25">
      <c r="B38" s="68">
        <v>27</v>
      </c>
      <c r="C38" s="7" t="s">
        <v>172</v>
      </c>
      <c r="D38" s="69" t="s">
        <v>43</v>
      </c>
      <c r="E38" s="70">
        <v>84.3</v>
      </c>
      <c r="F38" s="313"/>
      <c r="G38" s="313"/>
      <c r="I38" s="12"/>
    </row>
    <row r="39" spans="2:15" s="9" customFormat="1" ht="51" x14ac:dyDescent="0.2">
      <c r="B39" s="311">
        <v>28</v>
      </c>
      <c r="C39" s="187" t="s">
        <v>464</v>
      </c>
      <c r="D39" s="69" t="s">
        <v>43</v>
      </c>
      <c r="E39" s="70">
        <v>24.419</v>
      </c>
      <c r="F39" s="313"/>
      <c r="G39" s="313"/>
      <c r="I39" s="12"/>
    </row>
    <row r="40" spans="2:15" s="9" customFormat="1" ht="38.25" x14ac:dyDescent="0.25">
      <c r="B40" s="68">
        <v>29</v>
      </c>
      <c r="C40" s="433" t="s">
        <v>279</v>
      </c>
      <c r="D40" s="69" t="s">
        <v>43</v>
      </c>
      <c r="E40" s="70">
        <v>66.456000000000003</v>
      </c>
      <c r="F40" s="319"/>
      <c r="G40" s="313"/>
      <c r="I40" s="12"/>
    </row>
    <row r="41" spans="2:15" s="9" customFormat="1" x14ac:dyDescent="0.25">
      <c r="B41" s="311">
        <v>30</v>
      </c>
      <c r="C41" s="325" t="s">
        <v>53</v>
      </c>
      <c r="D41" s="279"/>
      <c r="E41" s="65">
        <f>E13+E14+E17+E18+E19+E20+E21+E22+E23+E25+E35+E36+E38+E40+E37+E24+E39</f>
        <v>1678.5509999999999</v>
      </c>
      <c r="F41" s="313"/>
      <c r="G41" s="313"/>
      <c r="I41" s="25"/>
    </row>
    <row r="42" spans="2:15" s="9" customFormat="1" x14ac:dyDescent="0.25">
      <c r="B42" s="311">
        <v>31</v>
      </c>
      <c r="C42" s="498" t="s">
        <v>54</v>
      </c>
      <c r="D42" s="498"/>
      <c r="E42" s="49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s="9" customFormat="1" ht="25.5" x14ac:dyDescent="0.25">
      <c r="B43" s="68">
        <v>32</v>
      </c>
      <c r="C43" s="5" t="s">
        <v>275</v>
      </c>
      <c r="D43" s="69" t="s">
        <v>43</v>
      </c>
      <c r="E43" s="70">
        <f>303.4</f>
        <v>303.39999999999998</v>
      </c>
      <c r="F43" s="326"/>
      <c r="G43" s="326"/>
      <c r="I43" s="326"/>
    </row>
    <row r="44" spans="2:15" s="9" customFormat="1" ht="67.900000000000006" customHeight="1" x14ac:dyDescent="0.25">
      <c r="B44" s="311">
        <v>33</v>
      </c>
      <c r="C44" s="5" t="s">
        <v>278</v>
      </c>
      <c r="D44" s="69" t="s">
        <v>43</v>
      </c>
      <c r="E44" s="70">
        <v>5.4</v>
      </c>
      <c r="F44" s="326"/>
      <c r="G44" s="326"/>
      <c r="I44" s="326"/>
    </row>
    <row r="45" spans="2:15" s="9" customFormat="1" ht="18.600000000000001" customHeight="1" x14ac:dyDescent="0.25">
      <c r="B45" s="68">
        <v>34</v>
      </c>
      <c r="C45" s="5" t="s">
        <v>173</v>
      </c>
      <c r="D45" s="69" t="s">
        <v>43</v>
      </c>
      <c r="E45" s="70">
        <f>890.1</f>
        <v>890.1</v>
      </c>
      <c r="F45" s="326"/>
      <c r="G45" s="326"/>
      <c r="I45" s="326"/>
    </row>
    <row r="46" spans="2:15" s="9" customFormat="1" ht="25.5" x14ac:dyDescent="0.25">
      <c r="B46" s="311">
        <v>35</v>
      </c>
      <c r="C46" s="157" t="s">
        <v>317</v>
      </c>
      <c r="D46" s="69" t="s">
        <v>43</v>
      </c>
      <c r="E46" s="70">
        <v>1500</v>
      </c>
      <c r="F46" s="326"/>
      <c r="G46" s="327"/>
      <c r="I46" s="326"/>
      <c r="L46" s="25"/>
    </row>
    <row r="47" spans="2:15" s="9" customFormat="1" ht="44.45" customHeight="1" x14ac:dyDescent="0.25">
      <c r="B47" s="311">
        <v>36</v>
      </c>
      <c r="C47" s="157" t="s">
        <v>318</v>
      </c>
      <c r="D47" s="69" t="s">
        <v>55</v>
      </c>
      <c r="E47" s="70">
        <v>670</v>
      </c>
      <c r="F47" s="326"/>
      <c r="G47" s="327"/>
      <c r="H47" s="328"/>
      <c r="I47" s="326"/>
    </row>
    <row r="48" spans="2:15" s="9" customFormat="1" ht="51" customHeight="1" x14ac:dyDescent="0.25">
      <c r="B48" s="68">
        <v>37</v>
      </c>
      <c r="C48" s="329" t="s">
        <v>320</v>
      </c>
      <c r="D48" s="69" t="s">
        <v>55</v>
      </c>
      <c r="E48" s="70">
        <v>72</v>
      </c>
      <c r="F48" s="326"/>
      <c r="G48" s="327"/>
      <c r="H48" s="328"/>
      <c r="I48" s="326"/>
    </row>
    <row r="49" spans="2:9" s="9" customFormat="1" ht="40.5" customHeight="1" x14ac:dyDescent="0.25">
      <c r="B49" s="311">
        <v>38</v>
      </c>
      <c r="C49" s="330" t="s">
        <v>204</v>
      </c>
      <c r="D49" s="279" t="s">
        <v>56</v>
      </c>
      <c r="E49" s="70">
        <v>412.82</v>
      </c>
      <c r="F49" s="331"/>
      <c r="G49" s="12"/>
      <c r="I49" s="331"/>
    </row>
    <row r="50" spans="2:9" s="9" customFormat="1" x14ac:dyDescent="0.25">
      <c r="B50" s="68">
        <v>39</v>
      </c>
      <c r="C50" s="5" t="s">
        <v>174</v>
      </c>
      <c r="D50" s="69" t="s">
        <v>43</v>
      </c>
      <c r="E50" s="70">
        <v>0.6</v>
      </c>
      <c r="F50" s="331"/>
      <c r="G50" s="12"/>
      <c r="I50" s="331"/>
    </row>
    <row r="51" spans="2:9" s="9" customFormat="1" x14ac:dyDescent="0.25">
      <c r="B51" s="311">
        <v>40</v>
      </c>
      <c r="C51" s="325" t="s">
        <v>53</v>
      </c>
      <c r="D51" s="325"/>
      <c r="E51" s="65">
        <f>SUM(E43:E50)</f>
        <v>3854.32</v>
      </c>
      <c r="F51" s="332"/>
      <c r="G51" s="332"/>
      <c r="I51" s="25"/>
    </row>
    <row r="52" spans="2:9" s="9" customFormat="1" x14ac:dyDescent="0.25">
      <c r="B52" s="311">
        <v>41</v>
      </c>
      <c r="C52" s="333" t="s">
        <v>285</v>
      </c>
      <c r="D52" s="333"/>
      <c r="E52" s="334">
        <f>E41+E51</f>
        <v>5532.8710000000001</v>
      </c>
      <c r="F52" s="332"/>
      <c r="G52" s="332"/>
    </row>
    <row r="53" spans="2:9" x14ac:dyDescent="0.25">
      <c r="C53" s="71"/>
      <c r="D53" s="72"/>
      <c r="E53" s="73"/>
    </row>
    <row r="56" spans="2:9" x14ac:dyDescent="0.25">
      <c r="D56" s="28"/>
      <c r="E56" s="27"/>
    </row>
  </sheetData>
  <mergeCells count="7">
    <mergeCell ref="A6:F6"/>
    <mergeCell ref="C42:E42"/>
    <mergeCell ref="B9:B11"/>
    <mergeCell ref="C9:C11"/>
    <mergeCell ref="D9:D11"/>
    <mergeCell ref="E9:E11"/>
    <mergeCell ref="C12:E12"/>
  </mergeCells>
  <phoneticPr fontId="40" type="noConversion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7186-48C3-408E-9847-76603542CC26}">
  <sheetPr>
    <pageSetUpPr fitToPage="1"/>
  </sheetPr>
  <dimension ref="B2:V46"/>
  <sheetViews>
    <sheetView zoomScaleNormal="100" workbookViewId="0">
      <selection activeCell="G24" sqref="G24"/>
    </sheetView>
  </sheetViews>
  <sheetFormatPr defaultRowHeight="15" x14ac:dyDescent="0.25"/>
  <cols>
    <col min="2" max="2" width="7.7109375" customWidth="1"/>
    <col min="3" max="3" width="39.7109375" bestFit="1" customWidth="1"/>
    <col min="4" max="4" width="10.28515625" style="35" customWidth="1"/>
    <col min="12" max="12" width="10" bestFit="1" customWidth="1"/>
    <col min="15" max="16" width="10" bestFit="1" customWidth="1"/>
    <col min="19" max="19" width="10" bestFit="1" customWidth="1"/>
  </cols>
  <sheetData>
    <row r="2" spans="2:4" x14ac:dyDescent="0.25">
      <c r="D2" s="26" t="s">
        <v>0</v>
      </c>
    </row>
    <row r="3" spans="2:4" x14ac:dyDescent="0.25">
      <c r="D3" s="26" t="s">
        <v>365</v>
      </c>
    </row>
    <row r="4" spans="2:4" x14ac:dyDescent="0.25">
      <c r="D4" s="26" t="s">
        <v>366</v>
      </c>
    </row>
    <row r="5" spans="2:4" x14ac:dyDescent="0.25">
      <c r="D5" s="2" t="s">
        <v>299</v>
      </c>
    </row>
    <row r="7" spans="2:4" ht="15.75" x14ac:dyDescent="0.25">
      <c r="B7" s="76" t="s">
        <v>367</v>
      </c>
      <c r="C7" s="76"/>
      <c r="D7" s="83"/>
    </row>
    <row r="8" spans="2:4" ht="15.75" x14ac:dyDescent="0.25">
      <c r="B8" s="61"/>
    </row>
    <row r="9" spans="2:4" x14ac:dyDescent="0.25">
      <c r="B9" s="335"/>
      <c r="C9" s="335"/>
      <c r="D9" s="336" t="s">
        <v>1</v>
      </c>
    </row>
    <row r="10" spans="2:4" x14ac:dyDescent="0.25">
      <c r="B10" s="512" t="s">
        <v>2</v>
      </c>
      <c r="C10" s="513" t="s">
        <v>145</v>
      </c>
      <c r="D10" s="514" t="s">
        <v>41</v>
      </c>
    </row>
    <row r="11" spans="2:4" x14ac:dyDescent="0.25">
      <c r="B11" s="512"/>
      <c r="C11" s="513"/>
      <c r="D11" s="514"/>
    </row>
    <row r="12" spans="2:4" x14ac:dyDescent="0.25">
      <c r="B12" s="512"/>
      <c r="C12" s="513"/>
      <c r="D12" s="514"/>
    </row>
    <row r="13" spans="2:4" x14ac:dyDescent="0.25">
      <c r="B13" s="337">
        <v>1</v>
      </c>
      <c r="C13" s="338" t="s">
        <v>70</v>
      </c>
      <c r="D13" s="177">
        <v>491.81799999999998</v>
      </c>
    </row>
    <row r="14" spans="2:4" x14ac:dyDescent="0.25">
      <c r="B14" s="337">
        <v>2</v>
      </c>
      <c r="C14" s="338" t="s">
        <v>71</v>
      </c>
      <c r="D14" s="177">
        <v>181.58600000000001</v>
      </c>
    </row>
    <row r="15" spans="2:4" x14ac:dyDescent="0.25">
      <c r="B15" s="337">
        <v>3</v>
      </c>
      <c r="C15" s="338" t="s">
        <v>72</v>
      </c>
      <c r="D15" s="177">
        <v>747.98599999999999</v>
      </c>
    </row>
    <row r="16" spans="2:4" x14ac:dyDescent="0.25">
      <c r="B16" s="337">
        <v>4</v>
      </c>
      <c r="C16" s="338" t="s">
        <v>73</v>
      </c>
      <c r="D16" s="177">
        <v>568.23599999999999</v>
      </c>
    </row>
    <row r="17" spans="2:15" x14ac:dyDescent="0.25">
      <c r="B17" s="337">
        <v>5</v>
      </c>
      <c r="C17" s="338" t="s">
        <v>74</v>
      </c>
      <c r="D17" s="177">
        <v>137.352</v>
      </c>
    </row>
    <row r="18" spans="2:15" x14ac:dyDescent="0.25">
      <c r="B18" s="337">
        <v>6</v>
      </c>
      <c r="C18" s="338" t="s">
        <v>75</v>
      </c>
      <c r="D18" s="177">
        <v>354.66699999999997</v>
      </c>
    </row>
    <row r="19" spans="2:15" x14ac:dyDescent="0.25">
      <c r="B19" s="337">
        <v>7</v>
      </c>
      <c r="C19" s="338" t="s">
        <v>76</v>
      </c>
      <c r="D19" s="177">
        <v>210.81200000000001</v>
      </c>
    </row>
    <row r="20" spans="2:15" x14ac:dyDescent="0.25">
      <c r="B20" s="337">
        <v>8</v>
      </c>
      <c r="C20" s="338" t="s">
        <v>120</v>
      </c>
      <c r="D20" s="177">
        <v>416.47500000000002</v>
      </c>
    </row>
    <row r="21" spans="2:15" x14ac:dyDescent="0.25">
      <c r="B21" s="337">
        <v>9</v>
      </c>
      <c r="C21" s="338" t="s">
        <v>77</v>
      </c>
      <c r="D21" s="177">
        <v>719.82600000000002</v>
      </c>
    </row>
    <row r="22" spans="2:15" x14ac:dyDescent="0.25">
      <c r="B22" s="337">
        <v>10</v>
      </c>
      <c r="C22" s="338" t="s">
        <v>62</v>
      </c>
      <c r="D22" s="177">
        <v>760.31799999999998</v>
      </c>
    </row>
    <row r="23" spans="2:15" x14ac:dyDescent="0.25">
      <c r="B23" s="337">
        <v>11</v>
      </c>
      <c r="C23" s="338" t="s">
        <v>78</v>
      </c>
      <c r="D23" s="177">
        <v>1398.0920000000001</v>
      </c>
    </row>
    <row r="24" spans="2:15" x14ac:dyDescent="0.25">
      <c r="B24" s="337">
        <v>12</v>
      </c>
      <c r="C24" s="338" t="s">
        <v>79</v>
      </c>
      <c r="D24" s="177">
        <v>1261.0540000000001</v>
      </c>
    </row>
    <row r="25" spans="2:15" x14ac:dyDescent="0.25">
      <c r="B25" s="337">
        <v>13</v>
      </c>
      <c r="C25" s="338" t="s">
        <v>80</v>
      </c>
      <c r="D25" s="177">
        <v>1456.1279999999999</v>
      </c>
    </row>
    <row r="26" spans="2:15" x14ac:dyDescent="0.25">
      <c r="B26" s="337">
        <v>14</v>
      </c>
      <c r="C26" s="338" t="s">
        <v>65</v>
      </c>
      <c r="D26" s="177">
        <v>2873.145</v>
      </c>
    </row>
    <row r="27" spans="2:15" x14ac:dyDescent="0.25">
      <c r="B27" s="337">
        <v>15</v>
      </c>
      <c r="C27" s="339" t="s">
        <v>282</v>
      </c>
      <c r="D27" s="177">
        <v>676.13800000000003</v>
      </c>
    </row>
    <row r="28" spans="2:15" x14ac:dyDescent="0.25">
      <c r="B28" s="337">
        <v>16</v>
      </c>
      <c r="C28" s="338" t="s">
        <v>81</v>
      </c>
      <c r="D28" s="177">
        <v>985.05399999999997</v>
      </c>
    </row>
    <row r="29" spans="2:15" x14ac:dyDescent="0.25">
      <c r="B29" s="337">
        <v>17</v>
      </c>
      <c r="C29" s="339" t="s">
        <v>82</v>
      </c>
      <c r="D29" s="177">
        <v>701.73099999999999</v>
      </c>
    </row>
    <row r="30" spans="2:15" x14ac:dyDescent="0.25">
      <c r="B30" s="337">
        <v>18</v>
      </c>
      <c r="C30" s="338" t="s">
        <v>83</v>
      </c>
      <c r="D30" s="177">
        <v>1527.251</v>
      </c>
    </row>
    <row r="31" spans="2:15" x14ac:dyDescent="0.25">
      <c r="B31" s="337">
        <v>19</v>
      </c>
      <c r="C31" s="338" t="s">
        <v>281</v>
      </c>
      <c r="D31" s="177">
        <v>1188.125</v>
      </c>
    </row>
    <row r="32" spans="2:15" x14ac:dyDescent="0.25">
      <c r="B32" s="337">
        <v>20</v>
      </c>
      <c r="C32" s="339" t="s">
        <v>84</v>
      </c>
      <c r="D32" s="177">
        <f>1202.261+526.12</f>
        <v>1728.3809999999999</v>
      </c>
      <c r="O32" s="27"/>
    </row>
    <row r="33" spans="2:22" x14ac:dyDescent="0.25">
      <c r="B33" s="337">
        <v>21</v>
      </c>
      <c r="C33" s="338" t="s">
        <v>64</v>
      </c>
      <c r="D33" s="177">
        <v>3212.913</v>
      </c>
    </row>
    <row r="34" spans="2:22" x14ac:dyDescent="0.25">
      <c r="B34" s="337">
        <v>22</v>
      </c>
      <c r="C34" s="339" t="s">
        <v>85</v>
      </c>
      <c r="D34" s="177">
        <v>1403.9090000000001</v>
      </c>
    </row>
    <row r="35" spans="2:22" x14ac:dyDescent="0.25">
      <c r="B35" s="337">
        <v>23</v>
      </c>
      <c r="C35" s="338" t="s">
        <v>63</v>
      </c>
      <c r="D35" s="177">
        <v>1349.1479999999999</v>
      </c>
    </row>
    <row r="36" spans="2:22" x14ac:dyDescent="0.25">
      <c r="B36" s="337">
        <v>24</v>
      </c>
      <c r="C36" s="339" t="s">
        <v>66</v>
      </c>
      <c r="D36" s="177">
        <v>31.698</v>
      </c>
    </row>
    <row r="37" spans="2:22" x14ac:dyDescent="0.25">
      <c r="B37" s="337">
        <v>25</v>
      </c>
      <c r="C37" s="339" t="s">
        <v>67</v>
      </c>
      <c r="D37" s="177">
        <v>90.275999999999996</v>
      </c>
    </row>
    <row r="38" spans="2:22" ht="25.5" x14ac:dyDescent="0.25">
      <c r="B38" s="337">
        <v>26</v>
      </c>
      <c r="C38" s="338" t="s">
        <v>87</v>
      </c>
      <c r="D38" s="177">
        <v>244.78200000000001</v>
      </c>
      <c r="L38" s="27"/>
      <c r="M38" s="27"/>
    </row>
    <row r="39" spans="2:22" x14ac:dyDescent="0.25">
      <c r="B39" s="337">
        <v>27</v>
      </c>
      <c r="C39" s="340" t="s">
        <v>60</v>
      </c>
      <c r="D39" s="341">
        <f>+SUM(D40:D43)</f>
        <v>1195.3989999999999</v>
      </c>
      <c r="O39" s="27"/>
    </row>
    <row r="40" spans="2:22" ht="25.5" x14ac:dyDescent="0.25">
      <c r="B40" s="337">
        <v>28</v>
      </c>
      <c r="C40" s="338" t="s">
        <v>121</v>
      </c>
      <c r="D40" s="177">
        <v>483.81599999999997</v>
      </c>
      <c r="P40" s="27"/>
      <c r="S40" s="27"/>
    </row>
    <row r="41" spans="2:22" ht="25.5" x14ac:dyDescent="0.25">
      <c r="B41" s="337">
        <v>29</v>
      </c>
      <c r="C41" s="338" t="s">
        <v>122</v>
      </c>
      <c r="D41" s="177">
        <v>10.773</v>
      </c>
      <c r="K41" s="27"/>
      <c r="P41" s="27"/>
      <c r="S41" s="27"/>
      <c r="V41" s="27"/>
    </row>
    <row r="42" spans="2:22" x14ac:dyDescent="0.25">
      <c r="B42" s="337">
        <v>30</v>
      </c>
      <c r="C42" s="338" t="s">
        <v>301</v>
      </c>
      <c r="D42" s="177">
        <v>84.828999999999994</v>
      </c>
    </row>
    <row r="43" spans="2:22" x14ac:dyDescent="0.25">
      <c r="B43" s="337">
        <v>31</v>
      </c>
      <c r="C43" s="338" t="s">
        <v>361</v>
      </c>
      <c r="D43" s="342">
        <v>615.98099999999999</v>
      </c>
    </row>
    <row r="44" spans="2:22" x14ac:dyDescent="0.25">
      <c r="B44" s="337">
        <v>32</v>
      </c>
      <c r="C44" s="343" t="s">
        <v>58</v>
      </c>
      <c r="D44" s="344">
        <f>+SUM(D13:D39)</f>
        <v>25912.300000000007</v>
      </c>
    </row>
    <row r="45" spans="2:22" ht="15.75" x14ac:dyDescent="0.25">
      <c r="B45" s="62"/>
      <c r="D45" s="101"/>
    </row>
    <row r="46" spans="2:22" x14ac:dyDescent="0.25">
      <c r="C46" s="58"/>
      <c r="D46" s="101"/>
    </row>
  </sheetData>
  <mergeCells count="3">
    <mergeCell ref="B10:B12"/>
    <mergeCell ref="C10:C12"/>
    <mergeCell ref="D10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3"/>
  <sheetViews>
    <sheetView workbookViewId="0">
      <pane ySplit="11" topLeftCell="A12" activePane="bottomLeft" state="frozen"/>
      <selection pane="bottomLeft" activeCell="I16" sqref="I16"/>
    </sheetView>
  </sheetViews>
  <sheetFormatPr defaultColWidth="9.140625" defaultRowHeight="15" x14ac:dyDescent="0.25"/>
  <cols>
    <col min="1" max="1" width="3.42578125" style="44" customWidth="1"/>
    <col min="2" max="2" width="37.7109375" style="1" customWidth="1"/>
    <col min="3" max="3" width="8.85546875" style="1" customWidth="1"/>
    <col min="4" max="4" width="12.140625" style="1" customWidth="1"/>
    <col min="5" max="5" width="10.140625" style="1" customWidth="1"/>
    <col min="6" max="7" width="12.28515625" style="1" customWidth="1"/>
    <col min="8" max="8" width="9.85546875" style="1" customWidth="1"/>
    <col min="9" max="9" width="13.42578125" style="1" bestFit="1" customWidth="1"/>
    <col min="10" max="11" width="8" style="1" customWidth="1"/>
    <col min="12" max="12" width="9" style="1" customWidth="1"/>
    <col min="13" max="13" width="7.28515625" style="1" customWidth="1"/>
    <col min="14" max="16384" width="9.140625" style="1"/>
  </cols>
  <sheetData>
    <row r="1" spans="1:13" ht="15.75" x14ac:dyDescent="0.25">
      <c r="A1" s="40"/>
      <c r="B1" s="15"/>
      <c r="D1" s="2"/>
      <c r="E1" s="2"/>
      <c r="F1" s="26" t="s">
        <v>0</v>
      </c>
    </row>
    <row r="2" spans="1:13" ht="14.25" customHeight="1" x14ac:dyDescent="0.25">
      <c r="A2" s="40"/>
      <c r="B2" s="15"/>
      <c r="D2" s="2"/>
      <c r="E2" s="2"/>
      <c r="F2" s="26" t="s">
        <v>405</v>
      </c>
    </row>
    <row r="3" spans="1:13" ht="12.75" customHeight="1" x14ac:dyDescent="0.25">
      <c r="A3" s="40"/>
      <c r="B3" s="15"/>
      <c r="D3" s="2"/>
      <c r="E3" s="2"/>
      <c r="F3" s="26" t="s">
        <v>383</v>
      </c>
    </row>
    <row r="4" spans="1:13" ht="14.25" customHeight="1" x14ac:dyDescent="0.25">
      <c r="A4" s="40"/>
      <c r="B4" s="15"/>
      <c r="E4" s="2"/>
      <c r="F4" s="2" t="s">
        <v>146</v>
      </c>
    </row>
    <row r="5" spans="1:13" ht="12.75" customHeight="1" x14ac:dyDescent="0.25">
      <c r="A5" s="40"/>
      <c r="B5" s="15"/>
    </row>
    <row r="6" spans="1:13" ht="15.75" x14ac:dyDescent="0.25">
      <c r="A6" s="499" t="s">
        <v>406</v>
      </c>
      <c r="B6" s="499"/>
      <c r="C6" s="499"/>
      <c r="D6" s="499"/>
      <c r="E6" s="499"/>
      <c r="F6" s="499"/>
      <c r="G6" s="499"/>
    </row>
    <row r="7" spans="1:13" ht="15.75" x14ac:dyDescent="0.25">
      <c r="A7" s="499" t="s">
        <v>147</v>
      </c>
      <c r="B7" s="499"/>
      <c r="C7" s="499"/>
      <c r="D7" s="499"/>
      <c r="E7" s="499"/>
      <c r="F7" s="499"/>
      <c r="G7" s="499"/>
    </row>
    <row r="8" spans="1:13" ht="8.25" customHeight="1" x14ac:dyDescent="0.25">
      <c r="A8" s="21"/>
      <c r="B8" s="21"/>
    </row>
    <row r="9" spans="1:13" ht="13.5" customHeight="1" x14ac:dyDescent="0.25">
      <c r="A9" s="40"/>
      <c r="B9" s="21"/>
      <c r="G9" s="42" t="s">
        <v>1</v>
      </c>
    </row>
    <row r="10" spans="1:13" ht="13.5" customHeight="1" x14ac:dyDescent="0.25">
      <c r="A10" s="506" t="s">
        <v>2</v>
      </c>
      <c r="B10" s="507" t="s">
        <v>145</v>
      </c>
      <c r="C10" s="514" t="s">
        <v>149</v>
      </c>
      <c r="D10" s="515" t="s">
        <v>148</v>
      </c>
      <c r="E10" s="515"/>
      <c r="F10" s="515"/>
      <c r="G10" s="515"/>
    </row>
    <row r="11" spans="1:13" ht="74.25" customHeight="1" x14ac:dyDescent="0.25">
      <c r="A11" s="506"/>
      <c r="B11" s="507"/>
      <c r="C11" s="514"/>
      <c r="D11" s="345" t="s">
        <v>150</v>
      </c>
      <c r="E11" s="345" t="s">
        <v>152</v>
      </c>
      <c r="F11" s="346" t="s">
        <v>151</v>
      </c>
      <c r="G11" s="345" t="s">
        <v>188</v>
      </c>
      <c r="H11" s="309"/>
      <c r="I11" s="11"/>
      <c r="J11" s="11"/>
    </row>
    <row r="12" spans="1:13" ht="16.5" customHeight="1" x14ac:dyDescent="0.25">
      <c r="A12" s="347">
        <v>1</v>
      </c>
      <c r="B12" s="348" t="s">
        <v>43</v>
      </c>
      <c r="C12" s="37">
        <f>D12+F12+G12+E12</f>
        <v>704</v>
      </c>
      <c r="D12" s="349">
        <v>164</v>
      </c>
      <c r="E12" s="349">
        <v>40</v>
      </c>
      <c r="F12" s="350"/>
      <c r="G12" s="349">
        <v>500</v>
      </c>
    </row>
    <row r="13" spans="1:13" ht="15.75" customHeight="1" x14ac:dyDescent="0.25">
      <c r="A13" s="347">
        <v>2</v>
      </c>
      <c r="B13" s="348" t="s">
        <v>52</v>
      </c>
      <c r="C13" s="37">
        <f t="shared" ref="C13:C49" si="0">D13+F13+G13+E13</f>
        <v>0</v>
      </c>
      <c r="D13" s="349"/>
      <c r="E13" s="349"/>
      <c r="F13" s="351"/>
      <c r="G13" s="352"/>
    </row>
    <row r="14" spans="1:13" ht="14.25" customHeight="1" x14ac:dyDescent="0.25">
      <c r="A14" s="347">
        <v>3</v>
      </c>
      <c r="B14" s="348" t="s">
        <v>68</v>
      </c>
      <c r="C14" s="37">
        <f t="shared" si="0"/>
        <v>112</v>
      </c>
      <c r="D14" s="349"/>
      <c r="E14" s="349">
        <v>112</v>
      </c>
      <c r="F14" s="351"/>
      <c r="G14" s="352"/>
      <c r="M14" s="32"/>
    </row>
    <row r="15" spans="1:13" ht="15.75" customHeight="1" x14ac:dyDescent="0.25">
      <c r="A15" s="347">
        <v>4</v>
      </c>
      <c r="B15" s="348" t="s">
        <v>153</v>
      </c>
      <c r="C15" s="37">
        <f t="shared" si="0"/>
        <v>270</v>
      </c>
      <c r="D15" s="349"/>
      <c r="E15" s="349"/>
      <c r="F15" s="349">
        <v>270</v>
      </c>
      <c r="G15" s="352"/>
      <c r="M15" s="32"/>
    </row>
    <row r="16" spans="1:13" s="10" customFormat="1" ht="16.5" customHeight="1" x14ac:dyDescent="0.25">
      <c r="A16" s="347">
        <v>5</v>
      </c>
      <c r="B16" s="7" t="s">
        <v>55</v>
      </c>
      <c r="C16" s="70">
        <f t="shared" si="0"/>
        <v>0.5</v>
      </c>
      <c r="D16" s="349"/>
      <c r="E16" s="349">
        <v>0.5</v>
      </c>
      <c r="F16" s="351"/>
      <c r="G16" s="352"/>
      <c r="M16" s="32"/>
    </row>
    <row r="17" spans="1:13" s="10" customFormat="1" ht="17.25" customHeight="1" x14ac:dyDescent="0.25">
      <c r="A17" s="347">
        <v>6</v>
      </c>
      <c r="B17" s="5" t="s">
        <v>56</v>
      </c>
      <c r="C17" s="70">
        <f t="shared" si="0"/>
        <v>8</v>
      </c>
      <c r="D17" s="349"/>
      <c r="E17" s="349">
        <v>8</v>
      </c>
      <c r="F17" s="351"/>
      <c r="G17" s="352"/>
      <c r="M17" s="78"/>
    </row>
    <row r="18" spans="1:13" ht="15" customHeight="1" x14ac:dyDescent="0.25">
      <c r="A18" s="347">
        <v>7</v>
      </c>
      <c r="B18" s="348" t="s">
        <v>154</v>
      </c>
      <c r="C18" s="37">
        <f t="shared" si="0"/>
        <v>4.5</v>
      </c>
      <c r="D18" s="349"/>
      <c r="E18" s="349">
        <v>4.5</v>
      </c>
      <c r="F18" s="351"/>
      <c r="G18" s="352"/>
      <c r="M18" s="32"/>
    </row>
    <row r="19" spans="1:13" ht="15.75" customHeight="1" x14ac:dyDescent="0.25">
      <c r="A19" s="347">
        <v>8</v>
      </c>
      <c r="B19" s="348" t="s">
        <v>69</v>
      </c>
      <c r="C19" s="37">
        <f t="shared" si="0"/>
        <v>0</v>
      </c>
      <c r="D19" s="349"/>
      <c r="E19" s="352"/>
      <c r="F19" s="351"/>
      <c r="G19" s="352"/>
      <c r="M19" s="32"/>
    </row>
    <row r="20" spans="1:13" ht="14.25" customHeight="1" x14ac:dyDescent="0.25">
      <c r="A20" s="347">
        <v>9</v>
      </c>
      <c r="B20" s="348" t="s">
        <v>118</v>
      </c>
      <c r="C20" s="37">
        <f>+SUM(D20:G20)</f>
        <v>0</v>
      </c>
      <c r="D20" s="352"/>
      <c r="E20" s="349"/>
      <c r="F20" s="351"/>
      <c r="G20" s="352"/>
      <c r="M20" s="32"/>
    </row>
    <row r="21" spans="1:13" ht="14.25" customHeight="1" x14ac:dyDescent="0.25">
      <c r="A21" s="347">
        <v>10</v>
      </c>
      <c r="B21" s="5" t="s">
        <v>235</v>
      </c>
      <c r="C21" s="37">
        <f t="shared" si="0"/>
        <v>0.8</v>
      </c>
      <c r="D21" s="349">
        <v>0.4</v>
      </c>
      <c r="E21" s="349">
        <v>0.4</v>
      </c>
      <c r="F21" s="351"/>
      <c r="G21" s="352"/>
      <c r="M21" s="32"/>
    </row>
    <row r="22" spans="1:13" ht="14.25" customHeight="1" x14ac:dyDescent="0.25">
      <c r="A22" s="347">
        <v>11</v>
      </c>
      <c r="B22" s="3" t="s">
        <v>86</v>
      </c>
      <c r="C22" s="37">
        <f t="shared" si="0"/>
        <v>3</v>
      </c>
      <c r="D22" s="349">
        <v>1.5</v>
      </c>
      <c r="E22" s="349">
        <v>1.5</v>
      </c>
      <c r="F22" s="351"/>
      <c r="G22" s="352"/>
      <c r="M22" s="32"/>
    </row>
    <row r="23" spans="1:13" x14ac:dyDescent="0.25">
      <c r="A23" s="347">
        <v>12</v>
      </c>
      <c r="B23" s="46" t="s">
        <v>70</v>
      </c>
      <c r="C23" s="37">
        <f t="shared" si="0"/>
        <v>28</v>
      </c>
      <c r="D23" s="353"/>
      <c r="E23" s="50">
        <v>1</v>
      </c>
      <c r="F23" s="37">
        <f>21+2+4</f>
        <v>27</v>
      </c>
      <c r="G23" s="354"/>
      <c r="J23" s="29"/>
    </row>
    <row r="24" spans="1:13" x14ac:dyDescent="0.25">
      <c r="A24" s="347">
        <v>13</v>
      </c>
      <c r="B24" s="46" t="s">
        <v>71</v>
      </c>
      <c r="C24" s="37">
        <f t="shared" si="0"/>
        <v>24</v>
      </c>
      <c r="D24" s="353"/>
      <c r="E24" s="354"/>
      <c r="F24" s="37">
        <f>28-4</f>
        <v>24</v>
      </c>
      <c r="G24" s="354"/>
      <c r="H24" s="355"/>
      <c r="J24" s="52"/>
    </row>
    <row r="25" spans="1:13" x14ac:dyDescent="0.25">
      <c r="A25" s="347">
        <v>14</v>
      </c>
      <c r="B25" s="46" t="s">
        <v>72</v>
      </c>
      <c r="C25" s="37">
        <f t="shared" si="0"/>
        <v>140</v>
      </c>
      <c r="D25" s="37"/>
      <c r="E25" s="50"/>
      <c r="F25" s="37">
        <v>140</v>
      </c>
      <c r="G25" s="354"/>
      <c r="J25" s="29"/>
    </row>
    <row r="26" spans="1:13" x14ac:dyDescent="0.25">
      <c r="A26" s="347">
        <v>15</v>
      </c>
      <c r="B26" s="46" t="s">
        <v>73</v>
      </c>
      <c r="C26" s="37">
        <f t="shared" si="0"/>
        <v>82</v>
      </c>
      <c r="D26" s="353"/>
      <c r="E26" s="354"/>
      <c r="F26" s="37">
        <v>82</v>
      </c>
      <c r="G26" s="354"/>
      <c r="J26" s="29"/>
    </row>
    <row r="27" spans="1:13" x14ac:dyDescent="0.25">
      <c r="A27" s="347">
        <v>16</v>
      </c>
      <c r="B27" s="46" t="s">
        <v>74</v>
      </c>
      <c r="C27" s="37">
        <f t="shared" si="0"/>
        <v>19</v>
      </c>
      <c r="D27" s="37"/>
      <c r="E27" s="50"/>
      <c r="F27" s="37">
        <v>19</v>
      </c>
      <c r="G27" s="354"/>
      <c r="J27" s="29"/>
    </row>
    <row r="28" spans="1:13" x14ac:dyDescent="0.25">
      <c r="A28" s="347">
        <v>17</v>
      </c>
      <c r="B28" s="46" t="s">
        <v>75</v>
      </c>
      <c r="C28" s="37">
        <f t="shared" si="0"/>
        <v>37</v>
      </c>
      <c r="D28" s="37"/>
      <c r="E28" s="50"/>
      <c r="F28" s="37">
        <v>37</v>
      </c>
      <c r="G28" s="354"/>
      <c r="H28" s="356"/>
      <c r="J28" s="114"/>
    </row>
    <row r="29" spans="1:13" x14ac:dyDescent="0.25">
      <c r="A29" s="347">
        <v>18</v>
      </c>
      <c r="B29" s="46" t="s">
        <v>76</v>
      </c>
      <c r="C29" s="37">
        <f t="shared" si="0"/>
        <v>29</v>
      </c>
      <c r="D29" s="37"/>
      <c r="E29" s="50"/>
      <c r="F29" s="37">
        <v>29</v>
      </c>
      <c r="G29" s="354"/>
      <c r="J29" s="29"/>
    </row>
    <row r="30" spans="1:13" x14ac:dyDescent="0.25">
      <c r="A30" s="347">
        <v>19</v>
      </c>
      <c r="B30" s="46" t="s">
        <v>155</v>
      </c>
      <c r="C30" s="37">
        <f t="shared" si="0"/>
        <v>52</v>
      </c>
      <c r="D30" s="353"/>
      <c r="E30" s="354"/>
      <c r="F30" s="37">
        <v>52</v>
      </c>
      <c r="G30" s="354"/>
      <c r="J30" s="29"/>
    </row>
    <row r="31" spans="1:13" x14ac:dyDescent="0.25">
      <c r="A31" s="347">
        <v>20</v>
      </c>
      <c r="B31" s="46" t="s">
        <v>77</v>
      </c>
      <c r="C31" s="37">
        <f t="shared" si="0"/>
        <v>105</v>
      </c>
      <c r="D31" s="37"/>
      <c r="E31" s="50"/>
      <c r="F31" s="37">
        <v>105</v>
      </c>
      <c r="G31" s="354"/>
      <c r="J31" s="29"/>
    </row>
    <row r="32" spans="1:13" x14ac:dyDescent="0.25">
      <c r="A32" s="347">
        <v>21</v>
      </c>
      <c r="B32" s="46" t="s">
        <v>62</v>
      </c>
      <c r="C32" s="37">
        <f t="shared" si="0"/>
        <v>15</v>
      </c>
      <c r="D32" s="37"/>
      <c r="E32" s="50">
        <v>15</v>
      </c>
      <c r="F32" s="353"/>
      <c r="G32" s="354"/>
    </row>
    <row r="33" spans="1:11" x14ac:dyDescent="0.25">
      <c r="A33" s="347">
        <v>22</v>
      </c>
      <c r="B33" s="46" t="s">
        <v>78</v>
      </c>
      <c r="C33" s="37">
        <f>D33+F33+G33+E33</f>
        <v>17</v>
      </c>
      <c r="D33" s="37">
        <v>2</v>
      </c>
      <c r="E33" s="50"/>
      <c r="F33" s="37">
        <v>15</v>
      </c>
      <c r="G33" s="354"/>
      <c r="H33" s="51"/>
      <c r="J33" s="29"/>
    </row>
    <row r="34" spans="1:11" x14ac:dyDescent="0.25">
      <c r="A34" s="347">
        <v>23</v>
      </c>
      <c r="B34" s="46" t="s">
        <v>79</v>
      </c>
      <c r="C34" s="37">
        <f t="shared" si="0"/>
        <v>42</v>
      </c>
      <c r="D34" s="37">
        <v>2</v>
      </c>
      <c r="E34" s="37">
        <v>20</v>
      </c>
      <c r="F34" s="37">
        <v>20</v>
      </c>
      <c r="G34" s="353"/>
      <c r="H34" s="38"/>
      <c r="I34" s="115"/>
      <c r="J34" s="115"/>
      <c r="K34" s="52"/>
    </row>
    <row r="35" spans="1:11" x14ac:dyDescent="0.25">
      <c r="A35" s="347">
        <v>24</v>
      </c>
      <c r="B35" s="46" t="s">
        <v>80</v>
      </c>
      <c r="C35" s="37">
        <f t="shared" si="0"/>
        <v>13.9</v>
      </c>
      <c r="D35" s="37">
        <v>4</v>
      </c>
      <c r="E35" s="357">
        <v>9.9</v>
      </c>
      <c r="F35" s="37"/>
      <c r="G35" s="354"/>
      <c r="I35" s="51"/>
      <c r="J35" s="51"/>
      <c r="K35" s="51"/>
    </row>
    <row r="36" spans="1:11" x14ac:dyDescent="0.25">
      <c r="A36" s="347">
        <v>25</v>
      </c>
      <c r="B36" s="46" t="s">
        <v>65</v>
      </c>
      <c r="C36" s="37">
        <f t="shared" si="0"/>
        <v>73</v>
      </c>
      <c r="D36" s="37"/>
      <c r="E36" s="50">
        <f>9+2+27</f>
        <v>38</v>
      </c>
      <c r="F36" s="37">
        <f>31+4</f>
        <v>35</v>
      </c>
      <c r="G36" s="354"/>
    </row>
    <row r="37" spans="1:11" x14ac:dyDescent="0.25">
      <c r="A37" s="347">
        <v>26</v>
      </c>
      <c r="B37" s="303" t="s">
        <v>282</v>
      </c>
      <c r="C37" s="37">
        <f t="shared" si="0"/>
        <v>15</v>
      </c>
      <c r="D37" s="37"/>
      <c r="E37" s="50">
        <v>6</v>
      </c>
      <c r="F37" s="37">
        <v>9</v>
      </c>
      <c r="G37" s="354"/>
    </row>
    <row r="38" spans="1:11" x14ac:dyDescent="0.25">
      <c r="A38" s="347">
        <v>27</v>
      </c>
      <c r="B38" s="46" t="s">
        <v>81</v>
      </c>
      <c r="C38" s="37">
        <f t="shared" si="0"/>
        <v>5.0549999999999997</v>
      </c>
      <c r="D38" s="37">
        <f>0.7-0.04+0.06</f>
        <v>0.72</v>
      </c>
      <c r="E38" s="354"/>
      <c r="F38" s="37">
        <f>6.05+0.165-0.2-1.68</f>
        <v>4.335</v>
      </c>
      <c r="G38" s="77"/>
    </row>
    <row r="39" spans="1:11" x14ac:dyDescent="0.25">
      <c r="A39" s="347">
        <v>28</v>
      </c>
      <c r="B39" s="46" t="s">
        <v>82</v>
      </c>
      <c r="C39" s="37">
        <f t="shared" si="0"/>
        <v>18</v>
      </c>
      <c r="D39" s="353"/>
      <c r="E39" s="50">
        <v>12</v>
      </c>
      <c r="F39" s="37">
        <v>6</v>
      </c>
      <c r="G39" s="354"/>
      <c r="H39" s="51"/>
      <c r="J39" s="51"/>
      <c r="K39" s="51"/>
    </row>
    <row r="40" spans="1:11" x14ac:dyDescent="0.25">
      <c r="A40" s="347">
        <v>29</v>
      </c>
      <c r="B40" s="46" t="s">
        <v>83</v>
      </c>
      <c r="C40" s="37">
        <f t="shared" si="0"/>
        <v>12.7</v>
      </c>
      <c r="D40" s="37">
        <v>0.6</v>
      </c>
      <c r="E40" s="50">
        <v>12.1</v>
      </c>
      <c r="F40" s="353"/>
      <c r="G40" s="354"/>
      <c r="H40" s="52"/>
      <c r="I40" s="29"/>
      <c r="J40" s="29"/>
      <c r="K40" s="52"/>
    </row>
    <row r="41" spans="1:11" x14ac:dyDescent="0.25">
      <c r="A41" s="347">
        <v>30</v>
      </c>
      <c r="B41" s="5" t="s">
        <v>281</v>
      </c>
      <c r="C41" s="37">
        <f t="shared" si="0"/>
        <v>90</v>
      </c>
      <c r="D41" s="37">
        <v>3</v>
      </c>
      <c r="E41" s="50">
        <v>58</v>
      </c>
      <c r="F41" s="37">
        <v>29</v>
      </c>
      <c r="G41" s="354"/>
    </row>
    <row r="42" spans="1:11" x14ac:dyDescent="0.25">
      <c r="A42" s="347">
        <v>31</v>
      </c>
      <c r="B42" s="46" t="s">
        <v>84</v>
      </c>
      <c r="C42" s="37">
        <f t="shared" si="0"/>
        <v>35</v>
      </c>
      <c r="D42" s="358">
        <v>1</v>
      </c>
      <c r="E42" s="50">
        <v>16</v>
      </c>
      <c r="F42" s="37">
        <v>18</v>
      </c>
      <c r="G42" s="354"/>
    </row>
    <row r="43" spans="1:11" ht="17.25" customHeight="1" x14ac:dyDescent="0.25">
      <c r="A43" s="347">
        <v>32</v>
      </c>
      <c r="B43" s="46" t="s">
        <v>64</v>
      </c>
      <c r="C43" s="37">
        <f t="shared" si="0"/>
        <v>37.6</v>
      </c>
      <c r="D43" s="37">
        <v>5.2</v>
      </c>
      <c r="E43" s="50">
        <v>32.4</v>
      </c>
      <c r="F43" s="353"/>
      <c r="G43" s="354"/>
    </row>
    <row r="44" spans="1:11" s="10" customFormat="1" ht="16.5" customHeight="1" x14ac:dyDescent="0.25">
      <c r="A44" s="347">
        <v>33</v>
      </c>
      <c r="B44" s="300" t="s">
        <v>85</v>
      </c>
      <c r="C44" s="70">
        <f t="shared" si="0"/>
        <v>88.5</v>
      </c>
      <c r="D44" s="70">
        <v>8.5</v>
      </c>
      <c r="E44" s="177">
        <v>77.599999999999994</v>
      </c>
      <c r="F44" s="70">
        <v>2.4</v>
      </c>
      <c r="G44" s="359"/>
    </row>
    <row r="45" spans="1:11" ht="15" customHeight="1" x14ac:dyDescent="0.25">
      <c r="A45" s="347">
        <v>34</v>
      </c>
      <c r="B45" s="5" t="s">
        <v>63</v>
      </c>
      <c r="C45" s="37">
        <f t="shared" si="0"/>
        <v>3</v>
      </c>
      <c r="D45" s="37">
        <f>0.5</f>
        <v>0.5</v>
      </c>
      <c r="E45" s="50">
        <f>2.5</f>
        <v>2.5</v>
      </c>
      <c r="F45" s="353"/>
      <c r="G45" s="354"/>
    </row>
    <row r="46" spans="1:11" ht="17.25" customHeight="1" x14ac:dyDescent="0.25">
      <c r="A46" s="347">
        <v>35</v>
      </c>
      <c r="B46" s="46" t="s">
        <v>66</v>
      </c>
      <c r="C46" s="37">
        <f t="shared" si="0"/>
        <v>13</v>
      </c>
      <c r="D46" s="37"/>
      <c r="E46" s="50"/>
      <c r="F46" s="37">
        <v>13</v>
      </c>
      <c r="G46" s="354"/>
    </row>
    <row r="47" spans="1:11" ht="16.5" customHeight="1" x14ac:dyDescent="0.25">
      <c r="A47" s="347">
        <v>36</v>
      </c>
      <c r="B47" s="46" t="s">
        <v>67</v>
      </c>
      <c r="C47" s="37">
        <f t="shared" si="0"/>
        <v>60</v>
      </c>
      <c r="D47" s="37"/>
      <c r="E47" s="50"/>
      <c r="F47" s="37">
        <v>60</v>
      </c>
      <c r="G47" s="354"/>
    </row>
    <row r="48" spans="1:11" s="10" customFormat="1" ht="27.75" customHeight="1" x14ac:dyDescent="0.2">
      <c r="A48" s="347">
        <v>37</v>
      </c>
      <c r="B48" s="5" t="s">
        <v>87</v>
      </c>
      <c r="C48" s="37">
        <f t="shared" si="0"/>
        <v>4.8</v>
      </c>
      <c r="D48" s="70"/>
      <c r="E48" s="177">
        <v>4.8</v>
      </c>
      <c r="F48" s="360"/>
      <c r="G48" s="359"/>
    </row>
    <row r="49" spans="1:10" ht="15.75" customHeight="1" x14ac:dyDescent="0.25">
      <c r="A49" s="347">
        <v>38</v>
      </c>
      <c r="B49" s="5" t="s">
        <v>283</v>
      </c>
      <c r="C49" s="37">
        <f t="shared" si="0"/>
        <v>50</v>
      </c>
      <c r="D49" s="353"/>
      <c r="E49" s="50">
        <v>50</v>
      </c>
      <c r="F49" s="353"/>
      <c r="G49" s="354"/>
    </row>
    <row r="50" spans="1:10" x14ac:dyDescent="0.25">
      <c r="A50" s="347">
        <v>39</v>
      </c>
      <c r="B50" s="361" t="s">
        <v>58</v>
      </c>
      <c r="C50" s="362">
        <f>SUM(C12:C49)</f>
        <v>2212.3550000000005</v>
      </c>
      <c r="D50" s="362">
        <f>SUM(D12:D48)</f>
        <v>193.42</v>
      </c>
      <c r="E50" s="362">
        <f>SUM(E12:E49)</f>
        <v>522.20000000000005</v>
      </c>
      <c r="F50" s="362">
        <f>SUM(F12:F48)</f>
        <v>996.73500000000001</v>
      </c>
      <c r="G50" s="285">
        <f>SUM(G12:G48)</f>
        <v>500</v>
      </c>
      <c r="H50" s="49"/>
      <c r="I50" s="49"/>
      <c r="J50" s="49"/>
    </row>
    <row r="51" spans="1:10" x14ac:dyDescent="0.25">
      <c r="A51" s="39"/>
      <c r="B51" s="116"/>
      <c r="C51" s="117"/>
      <c r="D51" s="117"/>
      <c r="E51" s="117"/>
      <c r="F51" s="117"/>
      <c r="G51" s="117"/>
    </row>
    <row r="53" spans="1:10" ht="15.75" x14ac:dyDescent="0.25">
      <c r="B53" s="15"/>
    </row>
  </sheetData>
  <mergeCells count="6">
    <mergeCell ref="A6:G6"/>
    <mergeCell ref="A7:G7"/>
    <mergeCell ref="D10:G10"/>
    <mergeCell ref="A10:A11"/>
    <mergeCell ref="B10:B11"/>
    <mergeCell ref="C10:C11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4"/>
  <sheetViews>
    <sheetView workbookViewId="0">
      <selection activeCell="G16" sqref="G16"/>
    </sheetView>
  </sheetViews>
  <sheetFormatPr defaultColWidth="9.140625" defaultRowHeight="15" x14ac:dyDescent="0.25"/>
  <cols>
    <col min="1" max="1" width="2.5703125" style="1" customWidth="1"/>
    <col min="2" max="2" width="3.5703125" style="11" customWidth="1"/>
    <col min="3" max="3" width="48.42578125" style="1" customWidth="1"/>
    <col min="4" max="4" width="13.28515625" style="1" customWidth="1"/>
    <col min="5" max="5" width="13.5703125" style="1" customWidth="1"/>
    <col min="6" max="6" width="11.7109375" style="1" customWidth="1"/>
    <col min="7" max="7" width="13.5703125" style="1" customWidth="1"/>
    <col min="8" max="16384" width="9.140625" style="1"/>
  </cols>
  <sheetData>
    <row r="1" spans="1:6" ht="15.75" x14ac:dyDescent="0.25">
      <c r="B1" s="17"/>
      <c r="C1" s="15"/>
      <c r="D1" s="26" t="s">
        <v>0</v>
      </c>
      <c r="E1" s="2"/>
    </row>
    <row r="2" spans="1:6" ht="15.75" x14ac:dyDescent="0.25">
      <c r="B2" s="17"/>
      <c r="C2" s="15"/>
      <c r="D2" s="26" t="s">
        <v>391</v>
      </c>
      <c r="E2" s="2"/>
    </row>
    <row r="3" spans="1:6" ht="15.75" x14ac:dyDescent="0.25">
      <c r="B3" s="17"/>
      <c r="C3" s="15"/>
      <c r="D3" s="26" t="s">
        <v>383</v>
      </c>
      <c r="E3" s="2"/>
    </row>
    <row r="4" spans="1:6" ht="15.75" x14ac:dyDescent="0.25">
      <c r="B4" s="17"/>
      <c r="C4" s="15"/>
      <c r="D4" s="53" t="s">
        <v>156</v>
      </c>
      <c r="E4" s="53"/>
    </row>
    <row r="5" spans="1:6" ht="15.75" x14ac:dyDescent="0.25">
      <c r="B5" s="17"/>
      <c r="C5" s="15"/>
    </row>
    <row r="6" spans="1:6" ht="15.75" x14ac:dyDescent="0.25">
      <c r="A6" s="499" t="s">
        <v>403</v>
      </c>
      <c r="B6" s="499"/>
      <c r="C6" s="499"/>
      <c r="D6" s="499"/>
      <c r="E6" s="499"/>
      <c r="F6" s="499"/>
    </row>
    <row r="7" spans="1:6" ht="15.75" x14ac:dyDescent="0.25">
      <c r="B7" s="499" t="s">
        <v>157</v>
      </c>
      <c r="C7" s="499"/>
      <c r="D7" s="499"/>
      <c r="E7" s="499"/>
    </row>
    <row r="8" spans="1:6" ht="15.75" x14ac:dyDescent="0.25">
      <c r="B8" s="17"/>
      <c r="C8" s="40"/>
      <c r="D8" s="40"/>
      <c r="E8" s="54" t="s">
        <v>1</v>
      </c>
    </row>
    <row r="9" spans="1:6" ht="15" customHeight="1" x14ac:dyDescent="0.25">
      <c r="B9" s="516" t="s">
        <v>2</v>
      </c>
      <c r="C9" s="519" t="s">
        <v>145</v>
      </c>
      <c r="D9" s="522" t="s">
        <v>193</v>
      </c>
      <c r="E9" s="525" t="s">
        <v>234</v>
      </c>
    </row>
    <row r="10" spans="1:6" x14ac:dyDescent="0.25">
      <c r="B10" s="517"/>
      <c r="C10" s="520"/>
      <c r="D10" s="523"/>
      <c r="E10" s="526"/>
    </row>
    <row r="11" spans="1:6" x14ac:dyDescent="0.25">
      <c r="B11" s="518"/>
      <c r="C11" s="521"/>
      <c r="D11" s="524"/>
      <c r="E11" s="527"/>
    </row>
    <row r="12" spans="1:6" x14ac:dyDescent="0.25">
      <c r="B12" s="315">
        <v>1</v>
      </c>
      <c r="C12" s="348" t="s">
        <v>43</v>
      </c>
      <c r="D12" s="37">
        <f>704+E12</f>
        <v>1659.798</v>
      </c>
      <c r="E12" s="37">
        <v>955.798</v>
      </c>
    </row>
    <row r="13" spans="1:6" x14ac:dyDescent="0.25">
      <c r="B13" s="315">
        <v>2</v>
      </c>
      <c r="C13" s="348" t="s">
        <v>52</v>
      </c>
      <c r="D13" s="37">
        <v>0</v>
      </c>
      <c r="E13" s="37"/>
    </row>
    <row r="14" spans="1:6" x14ac:dyDescent="0.25">
      <c r="B14" s="315">
        <v>3</v>
      </c>
      <c r="C14" s="348" t="s">
        <v>68</v>
      </c>
      <c r="D14" s="37">
        <v>112</v>
      </c>
      <c r="E14" s="37"/>
    </row>
    <row r="15" spans="1:6" x14ac:dyDescent="0.25">
      <c r="B15" s="315">
        <v>4</v>
      </c>
      <c r="C15" s="348" t="s">
        <v>153</v>
      </c>
      <c r="D15" s="37">
        <v>270</v>
      </c>
      <c r="E15" s="37"/>
    </row>
    <row r="16" spans="1:6" ht="17.45" customHeight="1" x14ac:dyDescent="0.25">
      <c r="B16" s="315">
        <v>5</v>
      </c>
      <c r="C16" s="34" t="s">
        <v>55</v>
      </c>
      <c r="D16" s="37">
        <v>0.5</v>
      </c>
      <c r="E16" s="37"/>
    </row>
    <row r="17" spans="2:6" ht="17.45" customHeight="1" x14ac:dyDescent="0.25">
      <c r="B17" s="315">
        <v>6</v>
      </c>
      <c r="C17" s="3" t="s">
        <v>56</v>
      </c>
      <c r="D17" s="37">
        <v>8</v>
      </c>
      <c r="E17" s="37"/>
    </row>
    <row r="18" spans="2:6" x14ac:dyDescent="0.25">
      <c r="B18" s="315">
        <v>7</v>
      </c>
      <c r="C18" s="348" t="s">
        <v>154</v>
      </c>
      <c r="D18" s="37">
        <v>4.5</v>
      </c>
      <c r="E18" s="37"/>
    </row>
    <row r="19" spans="2:6" x14ac:dyDescent="0.25">
      <c r="B19" s="315">
        <v>8</v>
      </c>
      <c r="C19" s="363" t="s">
        <v>69</v>
      </c>
      <c r="D19" s="37">
        <v>0</v>
      </c>
      <c r="E19" s="37"/>
    </row>
    <row r="20" spans="2:6" x14ac:dyDescent="0.25">
      <c r="B20" s="315">
        <v>9</v>
      </c>
      <c r="C20" s="363" t="s">
        <v>118</v>
      </c>
      <c r="D20" s="37">
        <v>0</v>
      </c>
      <c r="E20" s="37"/>
    </row>
    <row r="21" spans="2:6" x14ac:dyDescent="0.25">
      <c r="B21" s="315">
        <v>10</v>
      </c>
      <c r="C21" s="5" t="s">
        <v>235</v>
      </c>
      <c r="D21" s="37">
        <v>0.8</v>
      </c>
      <c r="E21" s="37"/>
    </row>
    <row r="22" spans="2:6" x14ac:dyDescent="0.25">
      <c r="B22" s="315">
        <v>11</v>
      </c>
      <c r="C22" s="364" t="s">
        <v>86</v>
      </c>
      <c r="D22" s="37">
        <v>3</v>
      </c>
      <c r="E22" s="37"/>
    </row>
    <row r="23" spans="2:6" x14ac:dyDescent="0.25">
      <c r="B23" s="315">
        <v>12</v>
      </c>
      <c r="C23" s="46" t="s">
        <v>70</v>
      </c>
      <c r="D23" s="37">
        <v>28</v>
      </c>
      <c r="E23" s="37"/>
    </row>
    <row r="24" spans="2:6" x14ac:dyDescent="0.25">
      <c r="B24" s="315">
        <v>13</v>
      </c>
      <c r="C24" s="46" t="s">
        <v>71</v>
      </c>
      <c r="D24" s="37">
        <v>24</v>
      </c>
      <c r="E24" s="37"/>
      <c r="F24" s="51"/>
    </row>
    <row r="25" spans="2:6" x14ac:dyDescent="0.25">
      <c r="B25" s="315">
        <v>14</v>
      </c>
      <c r="C25" s="46" t="s">
        <v>72</v>
      </c>
      <c r="D25" s="37">
        <v>140</v>
      </c>
      <c r="E25" s="37"/>
    </row>
    <row r="26" spans="2:6" x14ac:dyDescent="0.25">
      <c r="B26" s="315">
        <v>15</v>
      </c>
      <c r="C26" s="46" t="s">
        <v>73</v>
      </c>
      <c r="D26" s="37">
        <v>82</v>
      </c>
      <c r="E26" s="37"/>
    </row>
    <row r="27" spans="2:6" x14ac:dyDescent="0.25">
      <c r="B27" s="315">
        <v>16</v>
      </c>
      <c r="C27" s="46" t="s">
        <v>74</v>
      </c>
      <c r="D27" s="37">
        <v>19</v>
      </c>
      <c r="E27" s="37"/>
    </row>
    <row r="28" spans="2:6" x14ac:dyDescent="0.25">
      <c r="B28" s="315">
        <v>17</v>
      </c>
      <c r="C28" s="46" t="s">
        <v>75</v>
      </c>
      <c r="D28" s="37">
        <v>37</v>
      </c>
      <c r="E28" s="37"/>
      <c r="F28" s="51"/>
    </row>
    <row r="29" spans="2:6" x14ac:dyDescent="0.25">
      <c r="B29" s="315">
        <v>18</v>
      </c>
      <c r="C29" s="46" t="s">
        <v>76</v>
      </c>
      <c r="D29" s="37">
        <v>29</v>
      </c>
      <c r="E29" s="37"/>
    </row>
    <row r="30" spans="2:6" x14ac:dyDescent="0.25">
      <c r="B30" s="315">
        <v>19</v>
      </c>
      <c r="C30" s="46" t="s">
        <v>155</v>
      </c>
      <c r="D30" s="37">
        <v>52</v>
      </c>
      <c r="E30" s="37"/>
    </row>
    <row r="31" spans="2:6" x14ac:dyDescent="0.25">
      <c r="B31" s="315">
        <v>20</v>
      </c>
      <c r="C31" s="46" t="s">
        <v>77</v>
      </c>
      <c r="D31" s="37">
        <v>105</v>
      </c>
      <c r="E31" s="37"/>
    </row>
    <row r="32" spans="2:6" x14ac:dyDescent="0.25">
      <c r="B32" s="315">
        <v>21</v>
      </c>
      <c r="C32" s="46" t="s">
        <v>62</v>
      </c>
      <c r="D32" s="37">
        <v>15</v>
      </c>
      <c r="E32" s="37"/>
    </row>
    <row r="33" spans="2:8" x14ac:dyDescent="0.25">
      <c r="B33" s="315">
        <v>22</v>
      </c>
      <c r="C33" s="46" t="s">
        <v>78</v>
      </c>
      <c r="D33" s="37">
        <v>17</v>
      </c>
      <c r="E33" s="37"/>
      <c r="F33" s="51"/>
    </row>
    <row r="34" spans="2:8" x14ac:dyDescent="0.25">
      <c r="B34" s="315">
        <v>23</v>
      </c>
      <c r="C34" s="46" t="s">
        <v>79</v>
      </c>
      <c r="D34" s="37">
        <v>42</v>
      </c>
      <c r="E34" s="37"/>
    </row>
    <row r="35" spans="2:8" x14ac:dyDescent="0.25">
      <c r="B35" s="315">
        <v>24</v>
      </c>
      <c r="C35" s="46" t="s">
        <v>80</v>
      </c>
      <c r="D35" s="37">
        <v>13.9</v>
      </c>
      <c r="E35" s="37"/>
    </row>
    <row r="36" spans="2:8" x14ac:dyDescent="0.25">
      <c r="B36" s="315">
        <v>25</v>
      </c>
      <c r="C36" s="46" t="s">
        <v>65</v>
      </c>
      <c r="D36" s="37">
        <f>46+27</f>
        <v>73</v>
      </c>
      <c r="E36" s="37"/>
    </row>
    <row r="37" spans="2:8" x14ac:dyDescent="0.25">
      <c r="B37" s="315">
        <v>26</v>
      </c>
      <c r="C37" s="365" t="s">
        <v>282</v>
      </c>
      <c r="D37" s="37">
        <v>15</v>
      </c>
      <c r="E37" s="37"/>
    </row>
    <row r="38" spans="2:8" x14ac:dyDescent="0.25">
      <c r="B38" s="315">
        <v>27</v>
      </c>
      <c r="C38" s="46" t="s">
        <v>81</v>
      </c>
      <c r="D38" s="37">
        <v>5.0549999999999997</v>
      </c>
      <c r="E38" s="37"/>
    </row>
    <row r="39" spans="2:8" x14ac:dyDescent="0.25">
      <c r="B39" s="315">
        <v>28</v>
      </c>
      <c r="C39" s="46" t="s">
        <v>82</v>
      </c>
      <c r="D39" s="37">
        <v>18</v>
      </c>
      <c r="E39" s="37"/>
      <c r="F39" s="51"/>
      <c r="G39" s="51"/>
    </row>
    <row r="40" spans="2:8" x14ac:dyDescent="0.25">
      <c r="B40" s="315">
        <v>29</v>
      </c>
      <c r="C40" s="46" t="s">
        <v>83</v>
      </c>
      <c r="D40" s="37">
        <v>12.7</v>
      </c>
      <c r="E40" s="37"/>
      <c r="F40" s="52"/>
    </row>
    <row r="41" spans="2:8" x14ac:dyDescent="0.25">
      <c r="B41" s="315">
        <v>30</v>
      </c>
      <c r="C41" s="5" t="s">
        <v>281</v>
      </c>
      <c r="D41" s="37">
        <v>90</v>
      </c>
      <c r="E41" s="37"/>
    </row>
    <row r="42" spans="2:8" x14ac:dyDescent="0.25">
      <c r="B42" s="315">
        <v>31</v>
      </c>
      <c r="C42" s="46" t="s">
        <v>84</v>
      </c>
      <c r="D42" s="37">
        <v>35</v>
      </c>
      <c r="E42" s="37"/>
    </row>
    <row r="43" spans="2:8" x14ac:dyDescent="0.25">
      <c r="B43" s="315">
        <v>32</v>
      </c>
      <c r="C43" s="46" t="s">
        <v>64</v>
      </c>
      <c r="D43" s="37">
        <v>37.6</v>
      </c>
      <c r="E43" s="37"/>
      <c r="H43" s="52"/>
    </row>
    <row r="44" spans="2:8" x14ac:dyDescent="0.25">
      <c r="B44" s="315">
        <v>33</v>
      </c>
      <c r="C44" s="46" t="s">
        <v>85</v>
      </c>
      <c r="D44" s="37">
        <v>88.5</v>
      </c>
      <c r="E44" s="37"/>
    </row>
    <row r="45" spans="2:8" x14ac:dyDescent="0.25">
      <c r="B45" s="315">
        <v>34</v>
      </c>
      <c r="C45" s="5" t="s">
        <v>63</v>
      </c>
      <c r="D45" s="37">
        <v>3</v>
      </c>
      <c r="E45" s="37"/>
    </row>
    <row r="46" spans="2:8" x14ac:dyDescent="0.25">
      <c r="B46" s="315">
        <v>35</v>
      </c>
      <c r="C46" s="46" t="s">
        <v>66</v>
      </c>
      <c r="D46" s="37">
        <v>13</v>
      </c>
      <c r="E46" s="37"/>
    </row>
    <row r="47" spans="2:8" x14ac:dyDescent="0.25">
      <c r="B47" s="315">
        <v>36</v>
      </c>
      <c r="C47" s="46" t="s">
        <v>67</v>
      </c>
      <c r="D47" s="37">
        <v>60</v>
      </c>
      <c r="E47" s="37"/>
      <c r="H47" s="29"/>
    </row>
    <row r="48" spans="2:8" s="10" customFormat="1" ht="18.75" customHeight="1" x14ac:dyDescent="0.25">
      <c r="B48" s="315">
        <v>37</v>
      </c>
      <c r="C48" s="5" t="s">
        <v>87</v>
      </c>
      <c r="D48" s="70">
        <v>4.8</v>
      </c>
      <c r="E48" s="70"/>
    </row>
    <row r="49" spans="2:5" s="10" customFormat="1" ht="15.6" customHeight="1" x14ac:dyDescent="0.25">
      <c r="B49" s="315">
        <v>38</v>
      </c>
      <c r="C49" s="5" t="s">
        <v>283</v>
      </c>
      <c r="D49" s="70">
        <v>50</v>
      </c>
      <c r="E49" s="70"/>
    </row>
    <row r="50" spans="2:5" x14ac:dyDescent="0.25">
      <c r="B50" s="315">
        <v>39</v>
      </c>
      <c r="C50" s="47" t="s">
        <v>58</v>
      </c>
      <c r="D50" s="285">
        <f>SUM(D12:D49)</f>
        <v>3168.1529999999998</v>
      </c>
      <c r="E50" s="285">
        <f>SUM(E12:E48)</f>
        <v>955.798</v>
      </c>
    </row>
    <row r="51" spans="2:5" x14ac:dyDescent="0.25">
      <c r="C51" s="55"/>
      <c r="D51" s="56"/>
      <c r="E51" s="56"/>
    </row>
    <row r="52" spans="2:5" x14ac:dyDescent="0.25">
      <c r="D52" s="84"/>
    </row>
    <row r="53" spans="2:5" x14ac:dyDescent="0.25">
      <c r="D53" s="31"/>
    </row>
    <row r="54" spans="2:5" x14ac:dyDescent="0.25">
      <c r="C54" s="29"/>
      <c r="D54" s="31"/>
    </row>
  </sheetData>
  <mergeCells count="6">
    <mergeCell ref="B9:B11"/>
    <mergeCell ref="C9:C11"/>
    <mergeCell ref="D9:D11"/>
    <mergeCell ref="E9:E11"/>
    <mergeCell ref="A6:F6"/>
    <mergeCell ref="B7:E7"/>
  </mergeCells>
  <pageMargins left="0.7" right="0.7" top="0.75" bottom="0.75" header="0.3" footer="0.3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AC552-30A0-48FC-92F8-7E60A393D695}">
  <dimension ref="A1:Z60"/>
  <sheetViews>
    <sheetView zoomScaleNormal="100" workbookViewId="0">
      <selection activeCell="H43" sqref="H43"/>
    </sheetView>
  </sheetViews>
  <sheetFormatPr defaultColWidth="9.140625" defaultRowHeight="15.75" x14ac:dyDescent="0.25"/>
  <cols>
    <col min="1" max="1" width="7.42578125" style="10" customWidth="1"/>
    <col min="2" max="2" width="48.28515625" style="18" customWidth="1"/>
    <col min="3" max="3" width="14" style="13" customWidth="1"/>
    <col min="4" max="4" width="14.85546875" style="13" customWidth="1"/>
    <col min="5" max="5" width="10.7109375" style="129" customWidth="1"/>
    <col min="6" max="6" width="10.7109375" style="11" customWidth="1"/>
    <col min="7" max="18" width="15.7109375" style="19" customWidth="1"/>
    <col min="19" max="26" width="9.140625" style="11"/>
    <col min="27" max="16384" width="9.140625" style="1"/>
  </cols>
  <sheetData>
    <row r="1" spans="1:26" x14ac:dyDescent="0.25">
      <c r="C1" s="2" t="s">
        <v>0</v>
      </c>
    </row>
    <row r="2" spans="1:26" x14ac:dyDescent="0.25">
      <c r="C2" s="2" t="s">
        <v>412</v>
      </c>
    </row>
    <row r="3" spans="1:26" x14ac:dyDescent="0.25">
      <c r="C3" s="2" t="s">
        <v>383</v>
      </c>
    </row>
    <row r="4" spans="1:26" x14ac:dyDescent="0.25">
      <c r="C4" s="2" t="s">
        <v>207</v>
      </c>
      <c r="G4" s="103"/>
    </row>
    <row r="5" spans="1:26" ht="9.9499999999999993" customHeight="1" x14ac:dyDescent="0.25">
      <c r="A5" s="542"/>
      <c r="B5" s="542"/>
      <c r="C5" s="542"/>
      <c r="D5" s="542"/>
    </row>
    <row r="6" spans="1:26" ht="15" x14ac:dyDescent="0.25">
      <c r="A6" s="543" t="s">
        <v>413</v>
      </c>
      <c r="B6" s="544"/>
      <c r="C6" s="544"/>
      <c r="D6" s="544"/>
    </row>
    <row r="7" spans="1:26" ht="18.75" customHeight="1" x14ac:dyDescent="0.25">
      <c r="A7" s="544"/>
      <c r="B7" s="544"/>
      <c r="C7" s="544"/>
      <c r="D7" s="544"/>
      <c r="G7" s="103"/>
    </row>
    <row r="8" spans="1:26" ht="9.9499999999999993" customHeight="1" x14ac:dyDescent="0.25">
      <c r="A8" s="19"/>
      <c r="B8" s="20"/>
      <c r="C8" s="14"/>
      <c r="D8" s="14"/>
      <c r="G8" s="103"/>
    </row>
    <row r="9" spans="1:26" ht="18.75" x14ac:dyDescent="0.3">
      <c r="A9" s="539" t="s">
        <v>208</v>
      </c>
      <c r="B9" s="539"/>
      <c r="C9" s="539"/>
      <c r="D9" s="539"/>
      <c r="G9" s="545"/>
      <c r="H9" s="545"/>
      <c r="I9" s="545"/>
      <c r="J9" s="545"/>
    </row>
    <row r="10" spans="1:26" ht="9.9499999999999993" customHeight="1" x14ac:dyDescent="0.25">
      <c r="A10" s="366"/>
      <c r="G10" s="367"/>
      <c r="H10" s="367"/>
      <c r="I10" s="367"/>
      <c r="J10" s="367"/>
    </row>
    <row r="11" spans="1:26" s="10" customFormat="1" ht="48.75" customHeight="1" x14ac:dyDescent="0.25">
      <c r="A11" s="368" t="s">
        <v>2</v>
      </c>
      <c r="B11" s="369" t="s">
        <v>209</v>
      </c>
      <c r="C11" s="546" t="s">
        <v>414</v>
      </c>
      <c r="D11" s="546"/>
      <c r="E11" s="370"/>
      <c r="F11" s="370"/>
      <c r="G11" s="371"/>
      <c r="H11" s="371"/>
      <c r="I11" s="371"/>
      <c r="J11" s="371"/>
      <c r="K11" s="19"/>
      <c r="L11" s="19"/>
      <c r="M11" s="19"/>
      <c r="N11" s="19"/>
      <c r="O11" s="19"/>
      <c r="P11" s="19"/>
      <c r="Q11" s="19"/>
      <c r="R11" s="19"/>
      <c r="S11" s="11"/>
      <c r="T11" s="11"/>
      <c r="U11" s="11"/>
      <c r="V11" s="11"/>
      <c r="W11" s="11"/>
      <c r="X11" s="11"/>
      <c r="Y11" s="11"/>
      <c r="Z11" s="11"/>
    </row>
    <row r="12" spans="1:26" ht="35.1" customHeight="1" x14ac:dyDescent="0.25">
      <c r="A12" s="372">
        <v>1</v>
      </c>
      <c r="B12" s="373" t="s">
        <v>242</v>
      </c>
      <c r="C12" s="547">
        <v>89</v>
      </c>
      <c r="D12" s="547"/>
      <c r="E12" s="374"/>
      <c r="F12" s="374"/>
      <c r="G12" s="375"/>
      <c r="H12" s="375"/>
      <c r="I12" s="375"/>
      <c r="J12" s="375"/>
    </row>
    <row r="13" spans="1:26" ht="35.1" customHeight="1" x14ac:dyDescent="0.25">
      <c r="A13" s="372">
        <v>2</v>
      </c>
      <c r="B13" s="373" t="s">
        <v>243</v>
      </c>
      <c r="C13" s="547">
        <v>31</v>
      </c>
      <c r="D13" s="547"/>
      <c r="E13" s="374"/>
      <c r="F13" s="374"/>
      <c r="G13" s="375"/>
      <c r="H13" s="375"/>
      <c r="I13" s="375"/>
      <c r="J13" s="375"/>
    </row>
    <row r="14" spans="1:26" ht="51.75" customHeight="1" x14ac:dyDescent="0.25">
      <c r="A14" s="372">
        <v>3</v>
      </c>
      <c r="B14" s="373" t="s">
        <v>244</v>
      </c>
      <c r="C14" s="547">
        <v>150</v>
      </c>
      <c r="D14" s="547"/>
      <c r="E14" s="374"/>
      <c r="F14" s="374"/>
      <c r="G14" s="375"/>
      <c r="H14" s="375"/>
      <c r="I14" s="375"/>
      <c r="J14" s="375"/>
    </row>
    <row r="15" spans="1:26" ht="35.1" customHeight="1" x14ac:dyDescent="0.25">
      <c r="A15" s="372">
        <v>4</v>
      </c>
      <c r="B15" s="373" t="s">
        <v>210</v>
      </c>
      <c r="C15" s="547">
        <v>1</v>
      </c>
      <c r="D15" s="547"/>
      <c r="E15" s="374"/>
      <c r="F15" s="374"/>
      <c r="G15" s="375"/>
      <c r="H15" s="375"/>
      <c r="I15" s="375"/>
      <c r="J15" s="375"/>
    </row>
    <row r="16" spans="1:26" ht="35.1" customHeight="1" x14ac:dyDescent="0.25">
      <c r="A16" s="372">
        <v>5</v>
      </c>
      <c r="B16" s="373" t="s">
        <v>211</v>
      </c>
      <c r="C16" s="547">
        <v>5</v>
      </c>
      <c r="D16" s="547"/>
      <c r="E16" s="374"/>
      <c r="F16" s="374"/>
      <c r="G16" s="375"/>
      <c r="H16" s="375"/>
      <c r="I16" s="375"/>
      <c r="J16" s="375"/>
    </row>
    <row r="17" spans="1:26" s="106" customFormat="1" ht="35.1" customHeight="1" x14ac:dyDescent="0.25">
      <c r="A17" s="372">
        <v>6</v>
      </c>
      <c r="B17" s="373" t="s">
        <v>415</v>
      </c>
      <c r="C17" s="548">
        <v>168.45500000000001</v>
      </c>
      <c r="D17" s="548"/>
      <c r="E17" s="376"/>
      <c r="F17" s="376"/>
      <c r="G17" s="375"/>
      <c r="H17" s="375"/>
      <c r="I17" s="375"/>
      <c r="J17" s="375"/>
      <c r="K17" s="130"/>
      <c r="L17" s="130"/>
      <c r="M17" s="130"/>
      <c r="N17" s="130"/>
      <c r="O17" s="130"/>
      <c r="P17" s="130"/>
      <c r="Q17" s="130"/>
      <c r="R17" s="130"/>
      <c r="S17" s="105"/>
      <c r="T17" s="105"/>
      <c r="U17" s="105"/>
      <c r="V17" s="105"/>
      <c r="W17" s="105"/>
      <c r="X17" s="105"/>
      <c r="Y17" s="105"/>
      <c r="Z17" s="105"/>
    </row>
    <row r="18" spans="1:26" s="106" customFormat="1" ht="35.1" customHeight="1" x14ac:dyDescent="0.25">
      <c r="A18" s="372">
        <v>7</v>
      </c>
      <c r="B18" s="373" t="s">
        <v>416</v>
      </c>
      <c r="C18" s="536">
        <v>170.869</v>
      </c>
      <c r="D18" s="536"/>
      <c r="E18" s="377"/>
      <c r="F18" s="377"/>
      <c r="G18" s="378"/>
      <c r="H18" s="378"/>
      <c r="I18" s="378"/>
      <c r="J18" s="378"/>
      <c r="K18" s="130"/>
      <c r="L18" s="130"/>
      <c r="M18" s="130"/>
      <c r="N18" s="130"/>
      <c r="O18" s="130"/>
      <c r="P18" s="130"/>
      <c r="Q18" s="130"/>
      <c r="R18" s="130"/>
      <c r="S18" s="105"/>
      <c r="T18" s="105"/>
      <c r="U18" s="105"/>
      <c r="V18" s="105"/>
      <c r="W18" s="105"/>
      <c r="X18" s="105"/>
      <c r="Y18" s="105"/>
      <c r="Z18" s="105"/>
    </row>
    <row r="19" spans="1:26" s="106" customFormat="1" ht="35.1" customHeight="1" x14ac:dyDescent="0.25">
      <c r="A19" s="372">
        <v>8</v>
      </c>
      <c r="B19" s="373" t="s">
        <v>417</v>
      </c>
      <c r="C19" s="536">
        <v>53.381999999999998</v>
      </c>
      <c r="D19" s="536"/>
      <c r="E19" s="377"/>
      <c r="F19" s="377"/>
      <c r="G19" s="378"/>
      <c r="H19" s="378"/>
      <c r="I19" s="378"/>
      <c r="J19" s="378"/>
      <c r="K19" s="130"/>
      <c r="L19" s="130"/>
      <c r="M19" s="130"/>
      <c r="N19" s="130"/>
      <c r="O19" s="130"/>
      <c r="P19" s="130"/>
      <c r="Q19" s="130"/>
      <c r="R19" s="130"/>
      <c r="S19" s="105"/>
      <c r="T19" s="105"/>
      <c r="U19" s="105"/>
      <c r="V19" s="105"/>
      <c r="W19" s="105"/>
      <c r="X19" s="105"/>
      <c r="Y19" s="105"/>
      <c r="Z19" s="105"/>
    </row>
    <row r="20" spans="1:26" ht="35.1" customHeight="1" x14ac:dyDescent="0.25">
      <c r="A20" s="537" t="s">
        <v>212</v>
      </c>
      <c r="B20" s="537"/>
      <c r="C20" s="538">
        <f>SUM(C12:D19)</f>
        <v>668.70600000000002</v>
      </c>
      <c r="D20" s="538"/>
      <c r="E20" s="379"/>
      <c r="F20" s="379"/>
      <c r="G20" s="380"/>
    </row>
    <row r="21" spans="1:26" ht="9.9499999999999993" customHeight="1" x14ac:dyDescent="0.25">
      <c r="A21" s="104"/>
      <c r="B21" s="381"/>
      <c r="C21" s="280"/>
      <c r="D21" s="280"/>
    </row>
    <row r="22" spans="1:26" ht="21.75" customHeight="1" x14ac:dyDescent="0.3">
      <c r="A22" s="539" t="s">
        <v>213</v>
      </c>
      <c r="B22" s="539"/>
      <c r="C22" s="539"/>
      <c r="D22" s="539"/>
    </row>
    <row r="23" spans="1:26" ht="9.9499999999999993" customHeight="1" x14ac:dyDescent="0.25">
      <c r="A23" s="382"/>
      <c r="B23" s="383"/>
      <c r="C23" s="15"/>
      <c r="D23" s="15"/>
    </row>
    <row r="24" spans="1:26" ht="16.149999999999999" customHeight="1" x14ac:dyDescent="0.25">
      <c r="A24" s="540" t="s">
        <v>2</v>
      </c>
      <c r="B24" s="541" t="s">
        <v>214</v>
      </c>
      <c r="C24" s="540" t="s">
        <v>215</v>
      </c>
      <c r="D24" s="540"/>
      <c r="E24" s="385"/>
      <c r="F24" s="386"/>
    </row>
    <row r="25" spans="1:26" ht="32.25" customHeight="1" x14ac:dyDescent="0.25">
      <c r="A25" s="540"/>
      <c r="B25" s="541"/>
      <c r="C25" s="384" t="s">
        <v>418</v>
      </c>
      <c r="D25" s="384" t="s">
        <v>419</v>
      </c>
      <c r="E25" s="385"/>
      <c r="F25" s="386"/>
    </row>
    <row r="26" spans="1:26" ht="35.1" customHeight="1" x14ac:dyDescent="0.25">
      <c r="A26" s="368">
        <v>1</v>
      </c>
      <c r="B26" s="535" t="s">
        <v>216</v>
      </c>
      <c r="C26" s="535"/>
      <c r="D26" s="535"/>
      <c r="E26" s="387"/>
      <c r="F26" s="386"/>
    </row>
    <row r="27" spans="1:26" s="10" customFormat="1" ht="84" customHeight="1" x14ac:dyDescent="0.25">
      <c r="A27" s="388"/>
      <c r="B27" s="389" t="s">
        <v>217</v>
      </c>
      <c r="C27" s="390">
        <f>C19</f>
        <v>53.381999999999998</v>
      </c>
      <c r="D27" s="390">
        <f>(C12+C14+C15+C16)*0.2</f>
        <v>49</v>
      </c>
      <c r="E27" s="391"/>
      <c r="F27" s="386"/>
      <c r="G27" s="380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1"/>
      <c r="T27" s="11"/>
      <c r="U27" s="11"/>
      <c r="V27" s="11"/>
      <c r="W27" s="11"/>
      <c r="X27" s="11"/>
      <c r="Y27" s="11"/>
      <c r="Z27" s="11"/>
    </row>
    <row r="28" spans="1:26" s="10" customFormat="1" ht="39" customHeight="1" x14ac:dyDescent="0.25">
      <c r="A28" s="392">
        <v>2</v>
      </c>
      <c r="B28" s="535" t="s">
        <v>218</v>
      </c>
      <c r="C28" s="535"/>
      <c r="D28" s="535"/>
      <c r="E28" s="387"/>
      <c r="F28" s="386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1"/>
      <c r="T28" s="11"/>
      <c r="U28" s="11"/>
      <c r="V28" s="11"/>
      <c r="W28" s="11"/>
      <c r="X28" s="11"/>
      <c r="Y28" s="11"/>
      <c r="Z28" s="11"/>
    </row>
    <row r="29" spans="1:26" s="10" customFormat="1" ht="80.25" customHeight="1" x14ac:dyDescent="0.25">
      <c r="A29" s="393"/>
      <c r="B29" s="389" t="s">
        <v>219</v>
      </c>
      <c r="C29" s="390">
        <f>C18</f>
        <v>170.869</v>
      </c>
      <c r="D29" s="390">
        <f>C13</f>
        <v>31</v>
      </c>
      <c r="E29" s="385"/>
      <c r="F29" s="386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1"/>
      <c r="T29" s="11"/>
      <c r="U29" s="11"/>
      <c r="V29" s="11"/>
      <c r="W29" s="11"/>
      <c r="X29" s="11"/>
      <c r="Y29" s="11"/>
      <c r="Z29" s="11"/>
    </row>
    <row r="30" spans="1:26" s="19" customFormat="1" ht="35.1" customHeight="1" x14ac:dyDescent="0.25">
      <c r="A30" s="368">
        <v>3</v>
      </c>
      <c r="B30" s="535" t="s">
        <v>220</v>
      </c>
      <c r="C30" s="535"/>
      <c r="D30" s="535"/>
      <c r="E30" s="394"/>
      <c r="F30" s="395"/>
    </row>
    <row r="31" spans="1:26" s="10" customFormat="1" ht="35.1" customHeight="1" x14ac:dyDescent="0.25">
      <c r="A31" s="396" t="s">
        <v>201</v>
      </c>
      <c r="B31" s="529" t="s">
        <v>245</v>
      </c>
      <c r="C31" s="529"/>
      <c r="D31" s="529"/>
      <c r="E31" s="387"/>
      <c r="F31" s="528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1"/>
      <c r="T31" s="11"/>
      <c r="U31" s="11"/>
      <c r="V31" s="11"/>
      <c r="W31" s="11"/>
      <c r="X31" s="11"/>
      <c r="Y31" s="11"/>
      <c r="Z31" s="11"/>
    </row>
    <row r="32" spans="1:26" s="107" customFormat="1" ht="73.5" customHeight="1" x14ac:dyDescent="0.25">
      <c r="A32" s="397" t="s">
        <v>246</v>
      </c>
      <c r="B32" s="389" t="s">
        <v>420</v>
      </c>
      <c r="C32" s="398">
        <v>5</v>
      </c>
      <c r="D32" s="398">
        <v>10</v>
      </c>
      <c r="E32" s="399"/>
      <c r="F32" s="528"/>
      <c r="G32" s="380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107" customFormat="1" ht="35.1" customHeight="1" x14ac:dyDescent="0.25">
      <c r="A33" s="397" t="s">
        <v>247</v>
      </c>
      <c r="B33" s="389" t="s">
        <v>221</v>
      </c>
      <c r="C33" s="398"/>
      <c r="D33" s="398">
        <v>2</v>
      </c>
      <c r="E33" s="399"/>
      <c r="F33" s="528"/>
      <c r="G33" s="380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107" customFormat="1" ht="51" customHeight="1" x14ac:dyDescent="0.25">
      <c r="A34" s="397" t="s">
        <v>421</v>
      </c>
      <c r="B34" s="400" t="s">
        <v>422</v>
      </c>
      <c r="C34" s="372">
        <v>37.5</v>
      </c>
      <c r="D34" s="372">
        <v>28</v>
      </c>
      <c r="E34" s="399"/>
      <c r="F34" s="528"/>
      <c r="G34" s="380"/>
      <c r="H34" s="40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107" customFormat="1" ht="35.1" customHeight="1" x14ac:dyDescent="0.25">
      <c r="A35" s="396" t="s">
        <v>202</v>
      </c>
      <c r="B35" s="529" t="s">
        <v>248</v>
      </c>
      <c r="C35" s="529"/>
      <c r="D35" s="529"/>
      <c r="E35" s="394"/>
      <c r="F35" s="52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107" customFormat="1" ht="35.1" customHeight="1" x14ac:dyDescent="0.25">
      <c r="A36" s="402" t="s">
        <v>249</v>
      </c>
      <c r="B36" s="389" t="s">
        <v>423</v>
      </c>
      <c r="C36" s="398">
        <v>31</v>
      </c>
      <c r="D36" s="398">
        <v>25</v>
      </c>
      <c r="E36" s="403"/>
      <c r="F36" s="404"/>
      <c r="G36" s="380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107" customFormat="1" ht="31.5" x14ac:dyDescent="0.25">
      <c r="A37" s="402" t="s">
        <v>360</v>
      </c>
      <c r="B37" s="389" t="s">
        <v>424</v>
      </c>
      <c r="C37" s="398">
        <v>1</v>
      </c>
      <c r="D37" s="398">
        <v>30</v>
      </c>
      <c r="E37" s="403"/>
      <c r="F37" s="404"/>
      <c r="H37" s="380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10" customFormat="1" ht="35.1" customHeight="1" x14ac:dyDescent="0.25">
      <c r="A38" s="396" t="s">
        <v>223</v>
      </c>
      <c r="B38" s="529" t="s">
        <v>222</v>
      </c>
      <c r="C38" s="529"/>
      <c r="D38" s="529"/>
      <c r="E38" s="394"/>
      <c r="F38" s="281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1"/>
      <c r="T38" s="11"/>
      <c r="U38" s="11"/>
      <c r="V38" s="11"/>
      <c r="W38" s="11"/>
      <c r="X38" s="11"/>
      <c r="Y38" s="11"/>
      <c r="Z38" s="11"/>
    </row>
    <row r="39" spans="1:26" s="10" customFormat="1" ht="47.25" x14ac:dyDescent="0.25">
      <c r="A39" s="405" t="s">
        <v>250</v>
      </c>
      <c r="B39" s="389" t="s">
        <v>251</v>
      </c>
      <c r="C39" s="390">
        <v>3.5550000000000002</v>
      </c>
      <c r="D39" s="390"/>
      <c r="E39" s="406"/>
      <c r="F39" s="281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1"/>
      <c r="T39" s="11"/>
      <c r="U39" s="11"/>
      <c r="V39" s="11"/>
      <c r="W39" s="11"/>
      <c r="X39" s="11"/>
      <c r="Y39" s="11"/>
      <c r="Z39" s="11"/>
    </row>
    <row r="40" spans="1:26" ht="51.75" customHeight="1" x14ac:dyDescent="0.25">
      <c r="A40" s="405" t="s">
        <v>359</v>
      </c>
      <c r="B40" s="389" t="s">
        <v>362</v>
      </c>
      <c r="C40" s="390">
        <v>17</v>
      </c>
      <c r="D40" s="390"/>
      <c r="E40" s="406"/>
      <c r="F40" s="407"/>
      <c r="H40" s="380"/>
    </row>
    <row r="41" spans="1:26" s="10" customFormat="1" ht="35.1" customHeight="1" x14ac:dyDescent="0.25">
      <c r="A41" s="396" t="s">
        <v>252</v>
      </c>
      <c r="B41" s="530" t="s">
        <v>224</v>
      </c>
      <c r="C41" s="531"/>
      <c r="D41" s="532"/>
      <c r="E41" s="394"/>
      <c r="F41" s="281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1"/>
      <c r="T41" s="11"/>
      <c r="U41" s="11"/>
      <c r="V41" s="11"/>
      <c r="W41" s="11"/>
      <c r="X41" s="11"/>
      <c r="Y41" s="11"/>
      <c r="Z41" s="11"/>
    </row>
    <row r="42" spans="1:26" ht="35.1" customHeight="1" x14ac:dyDescent="0.25">
      <c r="A42" s="405" t="s">
        <v>253</v>
      </c>
      <c r="B42" s="408" t="s">
        <v>225</v>
      </c>
      <c r="C42" s="390">
        <v>18</v>
      </c>
      <c r="D42" s="390">
        <v>18</v>
      </c>
      <c r="E42" s="406"/>
      <c r="F42" s="409"/>
      <c r="G42" s="380"/>
    </row>
    <row r="43" spans="1:26" ht="35.1" customHeight="1" x14ac:dyDescent="0.25">
      <c r="A43" s="405" t="s">
        <v>254</v>
      </c>
      <c r="B43" s="389" t="s">
        <v>226</v>
      </c>
      <c r="C43" s="390">
        <v>2</v>
      </c>
      <c r="D43" s="390">
        <v>2</v>
      </c>
      <c r="E43" s="403"/>
      <c r="F43" s="409"/>
      <c r="G43" s="380"/>
    </row>
    <row r="44" spans="1:26" ht="35.1" customHeight="1" x14ac:dyDescent="0.25">
      <c r="A44" s="405" t="s">
        <v>255</v>
      </c>
      <c r="B44" s="389" t="s">
        <v>227</v>
      </c>
      <c r="C44" s="390"/>
      <c r="D44" s="390">
        <v>2</v>
      </c>
      <c r="E44" s="406"/>
      <c r="F44" s="404"/>
      <c r="G44" s="380"/>
    </row>
    <row r="45" spans="1:26" s="10" customFormat="1" ht="35.1" customHeight="1" x14ac:dyDescent="0.25">
      <c r="A45" s="396" t="s">
        <v>256</v>
      </c>
      <c r="B45" s="529" t="s">
        <v>228</v>
      </c>
      <c r="C45" s="529"/>
      <c r="D45" s="529"/>
      <c r="E45" s="394"/>
      <c r="F45" s="404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1"/>
      <c r="T45" s="11"/>
      <c r="U45" s="11"/>
      <c r="V45" s="11"/>
      <c r="W45" s="11"/>
      <c r="X45" s="11"/>
      <c r="Y45" s="11"/>
      <c r="Z45" s="11"/>
    </row>
    <row r="46" spans="1:26" s="15" customFormat="1" ht="35.1" customHeight="1" x14ac:dyDescent="0.25">
      <c r="A46" s="405" t="s">
        <v>257</v>
      </c>
      <c r="B46" s="389" t="s">
        <v>229</v>
      </c>
      <c r="C46" s="390">
        <v>45</v>
      </c>
      <c r="D46" s="390">
        <v>55</v>
      </c>
      <c r="E46" s="410"/>
      <c r="F46" s="404"/>
      <c r="G46" s="380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7"/>
      <c r="T46" s="17"/>
      <c r="U46" s="17"/>
      <c r="V46" s="17"/>
      <c r="W46" s="17"/>
      <c r="X46" s="17"/>
      <c r="Y46" s="17"/>
      <c r="Z46" s="17"/>
    </row>
    <row r="47" spans="1:26" s="15" customFormat="1" ht="35.1" customHeight="1" x14ac:dyDescent="0.25">
      <c r="A47" s="405" t="s">
        <v>258</v>
      </c>
      <c r="B47" s="389" t="s">
        <v>259</v>
      </c>
      <c r="C47" s="390"/>
      <c r="D47" s="390">
        <v>9</v>
      </c>
      <c r="E47" s="391"/>
      <c r="F47" s="404"/>
      <c r="G47" s="4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7"/>
      <c r="T47" s="17"/>
      <c r="U47" s="17"/>
      <c r="V47" s="17"/>
      <c r="W47" s="17"/>
      <c r="X47" s="17"/>
      <c r="Y47" s="17"/>
      <c r="Z47" s="17"/>
    </row>
    <row r="48" spans="1:26" s="15" customFormat="1" ht="35.1" customHeight="1" x14ac:dyDescent="0.25">
      <c r="A48" s="405" t="s">
        <v>425</v>
      </c>
      <c r="B48" s="411" t="s">
        <v>363</v>
      </c>
      <c r="C48" s="390">
        <v>1.4</v>
      </c>
      <c r="D48" s="390"/>
      <c r="E48" s="406"/>
      <c r="F48" s="404"/>
      <c r="H48" s="4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7"/>
      <c r="T48" s="17"/>
      <c r="U48" s="17"/>
      <c r="V48" s="17"/>
      <c r="W48" s="17"/>
      <c r="X48" s="17"/>
      <c r="Y48" s="17"/>
      <c r="Z48" s="17"/>
    </row>
    <row r="49" spans="1:26" s="10" customFormat="1" ht="35.1" customHeight="1" x14ac:dyDescent="0.25">
      <c r="A49" s="396" t="s">
        <v>260</v>
      </c>
      <c r="B49" s="529" t="s">
        <v>230</v>
      </c>
      <c r="C49" s="529"/>
      <c r="D49" s="529"/>
      <c r="E49" s="394"/>
      <c r="F49" s="404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1"/>
      <c r="T49" s="11"/>
      <c r="U49" s="11"/>
      <c r="V49" s="11"/>
      <c r="W49" s="11"/>
      <c r="X49" s="11"/>
      <c r="Y49" s="11"/>
      <c r="Z49" s="11"/>
    </row>
    <row r="50" spans="1:26" ht="35.1" customHeight="1" x14ac:dyDescent="0.25">
      <c r="A50" s="405" t="s">
        <v>261</v>
      </c>
      <c r="B50" s="389" t="s">
        <v>262</v>
      </c>
      <c r="C50" s="390">
        <v>3</v>
      </c>
      <c r="D50" s="390">
        <v>10</v>
      </c>
      <c r="E50" s="391"/>
      <c r="F50" s="404"/>
      <c r="G50" s="380"/>
    </row>
    <row r="51" spans="1:26" ht="50.25" customHeight="1" x14ac:dyDescent="0.25">
      <c r="A51" s="405" t="s">
        <v>263</v>
      </c>
      <c r="B51" s="389" t="s">
        <v>264</v>
      </c>
      <c r="C51" s="390">
        <v>2</v>
      </c>
      <c r="D51" s="390">
        <v>2</v>
      </c>
      <c r="E51" s="406"/>
      <c r="G51" s="380"/>
    </row>
    <row r="52" spans="1:26" ht="66" customHeight="1" x14ac:dyDescent="0.25">
      <c r="A52" s="405" t="s">
        <v>265</v>
      </c>
      <c r="B52" s="389" t="s">
        <v>266</v>
      </c>
      <c r="C52" s="390">
        <v>2</v>
      </c>
      <c r="D52" s="390">
        <v>3</v>
      </c>
      <c r="E52" s="412"/>
      <c r="G52" s="380"/>
    </row>
    <row r="53" spans="1:26" x14ac:dyDescent="0.25">
      <c r="A53" s="533" t="s">
        <v>212</v>
      </c>
      <c r="B53" s="533"/>
      <c r="C53" s="413">
        <f>SUM(C27,C29,C32:C34,C36:C37,C39:C40,C42:C44,C46:C48,C50:C52)</f>
        <v>392.70599999999996</v>
      </c>
      <c r="D53" s="413">
        <f>SUM(D27,D29,D32:D34,D36:D37,D39:D40,D42:D44,D46:D48,D50:D52)</f>
        <v>276</v>
      </c>
      <c r="E53" s="394"/>
      <c r="F53" s="403"/>
    </row>
    <row r="54" spans="1:26" x14ac:dyDescent="0.25">
      <c r="A54" s="533" t="s">
        <v>426</v>
      </c>
      <c r="B54" s="533"/>
      <c r="C54" s="534">
        <f>C53+D53</f>
        <v>668.7059999999999</v>
      </c>
      <c r="D54" s="534"/>
      <c r="E54" s="528"/>
      <c r="F54" s="528"/>
    </row>
    <row r="55" spans="1:26" x14ac:dyDescent="0.25">
      <c r="A55" s="382"/>
      <c r="B55" s="414"/>
      <c r="C55" s="415"/>
      <c r="D55" s="15"/>
      <c r="E55" s="416"/>
      <c r="F55" s="416"/>
    </row>
    <row r="56" spans="1:26" x14ac:dyDescent="0.25">
      <c r="E56" s="417"/>
      <c r="F56" s="418"/>
    </row>
    <row r="57" spans="1:26" x14ac:dyDescent="0.25">
      <c r="C57" s="419"/>
      <c r="D57" s="419"/>
    </row>
    <row r="58" spans="1:26" x14ac:dyDescent="0.25">
      <c r="C58" s="420"/>
      <c r="D58" s="419"/>
    </row>
    <row r="60" spans="1:26" x14ac:dyDescent="0.25">
      <c r="C60" s="108"/>
    </row>
  </sheetData>
  <mergeCells count="33">
    <mergeCell ref="C18:D18"/>
    <mergeCell ref="A5:D5"/>
    <mergeCell ref="A6:D7"/>
    <mergeCell ref="A9:D9"/>
    <mergeCell ref="G9:J9"/>
    <mergeCell ref="C11:D11"/>
    <mergeCell ref="C12:D12"/>
    <mergeCell ref="C13:D13"/>
    <mergeCell ref="C14:D14"/>
    <mergeCell ref="C15:D15"/>
    <mergeCell ref="C16:D16"/>
    <mergeCell ref="C17:D17"/>
    <mergeCell ref="C19:D19"/>
    <mergeCell ref="A20:B20"/>
    <mergeCell ref="C20:D20"/>
    <mergeCell ref="A22:D22"/>
    <mergeCell ref="A24:A25"/>
    <mergeCell ref="B24:B25"/>
    <mergeCell ref="C24:D24"/>
    <mergeCell ref="B26:D26"/>
    <mergeCell ref="B28:D28"/>
    <mergeCell ref="B30:D30"/>
    <mergeCell ref="B31:D31"/>
    <mergeCell ref="F31:F35"/>
    <mergeCell ref="B35:D35"/>
    <mergeCell ref="E54:F54"/>
    <mergeCell ref="B38:D38"/>
    <mergeCell ref="B41:D41"/>
    <mergeCell ref="B45:D45"/>
    <mergeCell ref="B49:D49"/>
    <mergeCell ref="A53:B53"/>
    <mergeCell ref="A54:B54"/>
    <mergeCell ref="C54:D54"/>
  </mergeCells>
  <pageMargins left="0.39370078740157483" right="0.39370078740157483" top="0.39370078740157483" bottom="0.39370078740157483" header="3.937007874015748E-2" footer="3.937007874015748E-2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921B-05D6-4068-A726-2C258A7D3E36}">
  <sheetPr>
    <pageSetUpPr fitToPage="1"/>
  </sheetPr>
  <dimension ref="B1:H106"/>
  <sheetViews>
    <sheetView topLeftCell="A76" zoomScaleNormal="100" workbookViewId="0">
      <selection activeCell="C108" sqref="C108"/>
    </sheetView>
  </sheetViews>
  <sheetFormatPr defaultColWidth="9.140625" defaultRowHeight="15" x14ac:dyDescent="0.25"/>
  <cols>
    <col min="1" max="1" width="5.42578125" customWidth="1"/>
    <col min="2" max="2" width="5.85546875" style="9" customWidth="1"/>
    <col min="3" max="3" width="58.7109375" customWidth="1"/>
    <col min="4" max="4" width="17.5703125" style="98" customWidth="1"/>
    <col min="5" max="5" width="10.7109375" customWidth="1"/>
    <col min="6" max="6" width="11.28515625" customWidth="1"/>
    <col min="7" max="7" width="10.85546875" customWidth="1"/>
    <col min="244" max="244" width="3.85546875" customWidth="1"/>
    <col min="245" max="245" width="47.28515625" customWidth="1"/>
    <col min="246" max="246" width="9.42578125" customWidth="1"/>
  </cols>
  <sheetData>
    <row r="1" spans="2:6" x14ac:dyDescent="0.25">
      <c r="D1" s="97" t="s">
        <v>0</v>
      </c>
    </row>
    <row r="2" spans="2:6" x14ac:dyDescent="0.25">
      <c r="C2" s="57"/>
      <c r="D2" s="97" t="s">
        <v>390</v>
      </c>
    </row>
    <row r="3" spans="2:6" x14ac:dyDescent="0.25">
      <c r="D3" s="97" t="s">
        <v>383</v>
      </c>
    </row>
    <row r="4" spans="2:6" x14ac:dyDescent="0.25">
      <c r="D4" s="2" t="s">
        <v>180</v>
      </c>
    </row>
    <row r="5" spans="2:6" x14ac:dyDescent="0.25">
      <c r="C5" s="35"/>
      <c r="D5" s="421"/>
    </row>
    <row r="6" spans="2:6" ht="15.75" x14ac:dyDescent="0.25">
      <c r="B6" s="556" t="s">
        <v>407</v>
      </c>
      <c r="C6" s="556"/>
      <c r="D6" s="556"/>
    </row>
    <row r="7" spans="2:6" ht="15.75" x14ac:dyDescent="0.25">
      <c r="B7" s="499" t="s">
        <v>197</v>
      </c>
      <c r="C7" s="499"/>
      <c r="D7" s="499"/>
    </row>
    <row r="8" spans="2:6" ht="15.75" x14ac:dyDescent="0.25">
      <c r="B8" s="422"/>
      <c r="C8" s="423"/>
      <c r="D8" s="42" t="s">
        <v>1</v>
      </c>
    </row>
    <row r="9" spans="2:6" x14ac:dyDescent="0.25">
      <c r="B9" s="564" t="s">
        <v>2</v>
      </c>
      <c r="C9" s="564" t="s">
        <v>57</v>
      </c>
      <c r="D9" s="565" t="s">
        <v>58</v>
      </c>
    </row>
    <row r="10" spans="2:6" x14ac:dyDescent="0.25">
      <c r="B10" s="523"/>
      <c r="C10" s="523"/>
      <c r="D10" s="520"/>
      <c r="F10" s="58"/>
    </row>
    <row r="11" spans="2:6" x14ac:dyDescent="0.25">
      <c r="B11" s="524"/>
      <c r="C11" s="524"/>
      <c r="D11" s="521"/>
    </row>
    <row r="12" spans="2:6" x14ac:dyDescent="0.25">
      <c r="B12" s="424">
        <v>1</v>
      </c>
      <c r="C12" s="509" t="s">
        <v>42</v>
      </c>
      <c r="D12" s="511"/>
    </row>
    <row r="13" spans="2:6" x14ac:dyDescent="0.25">
      <c r="B13" s="424">
        <f>+B12+1</f>
        <v>2</v>
      </c>
      <c r="C13" s="561" t="s">
        <v>185</v>
      </c>
      <c r="D13" s="558"/>
    </row>
    <row r="14" spans="2:6" ht="18" customHeight="1" x14ac:dyDescent="0.25">
      <c r="B14" s="424">
        <v>3</v>
      </c>
      <c r="C14" s="566" t="s">
        <v>182</v>
      </c>
      <c r="D14" s="566"/>
    </row>
    <row r="15" spans="2:6" ht="18" customHeight="1" x14ac:dyDescent="0.25">
      <c r="B15" s="424">
        <f t="shared" ref="B15" si="0">+B14+1</f>
        <v>4</v>
      </c>
      <c r="C15" s="34" t="s">
        <v>52</v>
      </c>
      <c r="D15" s="285">
        <v>314.32400000000001</v>
      </c>
    </row>
    <row r="16" spans="2:6" ht="18" customHeight="1" x14ac:dyDescent="0.25">
      <c r="B16" s="424">
        <v>5</v>
      </c>
      <c r="C16" s="425" t="s">
        <v>58</v>
      </c>
      <c r="D16" s="285">
        <f>+D15</f>
        <v>314.32400000000001</v>
      </c>
    </row>
    <row r="17" spans="2:7" x14ac:dyDescent="0.25">
      <c r="B17" s="424">
        <f t="shared" ref="B17:B68" si="1">+B16+1</f>
        <v>6</v>
      </c>
      <c r="C17" s="426" t="s">
        <v>53</v>
      </c>
      <c r="D17" s="285">
        <f>+D16</f>
        <v>314.32400000000001</v>
      </c>
    </row>
    <row r="18" spans="2:7" ht="32.25" customHeight="1" x14ac:dyDescent="0.25">
      <c r="B18" s="424">
        <v>7</v>
      </c>
      <c r="C18" s="562" t="s">
        <v>54</v>
      </c>
      <c r="D18" s="563"/>
    </row>
    <row r="19" spans="2:7" ht="18" customHeight="1" x14ac:dyDescent="0.25">
      <c r="B19" s="424">
        <f t="shared" ref="B19:B78" si="2">+B18+1</f>
        <v>8</v>
      </c>
      <c r="C19" s="554" t="s">
        <v>141</v>
      </c>
      <c r="D19" s="555"/>
    </row>
    <row r="20" spans="2:7" x14ac:dyDescent="0.25">
      <c r="B20" s="424">
        <v>9</v>
      </c>
      <c r="C20" s="33" t="s">
        <v>43</v>
      </c>
      <c r="D20" s="37">
        <v>130</v>
      </c>
    </row>
    <row r="21" spans="2:7" x14ac:dyDescent="0.25">
      <c r="B21" s="424">
        <f t="shared" ref="B21:B72" si="3">+B20+1</f>
        <v>10</v>
      </c>
      <c r="C21" s="426" t="s">
        <v>58</v>
      </c>
      <c r="D21" s="285">
        <f>+SUM(D20)</f>
        <v>130</v>
      </c>
    </row>
    <row r="22" spans="2:7" ht="19.5" customHeight="1" x14ac:dyDescent="0.25">
      <c r="B22" s="424">
        <v>11</v>
      </c>
      <c r="C22" s="553" t="s">
        <v>321</v>
      </c>
      <c r="D22" s="552"/>
    </row>
    <row r="23" spans="2:7" x14ac:dyDescent="0.25">
      <c r="B23" s="424">
        <f t="shared" si="2"/>
        <v>12</v>
      </c>
      <c r="C23" s="33" t="s">
        <v>43</v>
      </c>
      <c r="D23" s="37">
        <f>75.036</f>
        <v>75.036000000000001</v>
      </c>
      <c r="G23" s="35"/>
    </row>
    <row r="24" spans="2:7" x14ac:dyDescent="0.25">
      <c r="B24" s="424">
        <v>13</v>
      </c>
      <c r="C24" s="426" t="s">
        <v>58</v>
      </c>
      <c r="D24" s="285">
        <f>+SUM(D23)</f>
        <v>75.036000000000001</v>
      </c>
    </row>
    <row r="25" spans="2:7" x14ac:dyDescent="0.25">
      <c r="B25" s="424">
        <f t="shared" ref="B25:B76" si="4">+B24+1</f>
        <v>14</v>
      </c>
      <c r="C25" s="553" t="s">
        <v>427</v>
      </c>
      <c r="D25" s="552"/>
    </row>
    <row r="26" spans="2:7" x14ac:dyDescent="0.25">
      <c r="B26" s="424">
        <v>15</v>
      </c>
      <c r="C26" s="33" t="s">
        <v>43</v>
      </c>
      <c r="D26" s="427">
        <f>52.569</f>
        <v>52.569000000000003</v>
      </c>
    </row>
    <row r="27" spans="2:7" x14ac:dyDescent="0.25">
      <c r="B27" s="424">
        <f t="shared" si="2"/>
        <v>16</v>
      </c>
      <c r="C27" s="426" t="s">
        <v>58</v>
      </c>
      <c r="D27" s="427">
        <f>+D26</f>
        <v>52.569000000000003</v>
      </c>
    </row>
    <row r="28" spans="2:7" ht="31.5" customHeight="1" x14ac:dyDescent="0.25">
      <c r="B28" s="424">
        <v>17</v>
      </c>
      <c r="C28" s="557" t="s">
        <v>370</v>
      </c>
      <c r="D28" s="558"/>
    </row>
    <row r="29" spans="2:7" ht="17.25" customHeight="1" x14ac:dyDescent="0.25">
      <c r="B29" s="424">
        <v>18</v>
      </c>
      <c r="C29" s="5" t="s">
        <v>68</v>
      </c>
      <c r="D29" s="37">
        <v>9.3320000000000007</v>
      </c>
    </row>
    <row r="30" spans="2:7" ht="17.25" customHeight="1" x14ac:dyDescent="0.25">
      <c r="B30" s="424">
        <f t="shared" ref="B30" si="5">+B29+1</f>
        <v>19</v>
      </c>
      <c r="C30" s="5" t="s">
        <v>106</v>
      </c>
      <c r="D30" s="37">
        <v>22.663</v>
      </c>
    </row>
    <row r="31" spans="2:7" ht="17.25" customHeight="1" x14ac:dyDescent="0.25">
      <c r="B31" s="424">
        <v>20</v>
      </c>
      <c r="C31" s="34" t="s">
        <v>55</v>
      </c>
      <c r="D31" s="37">
        <v>11.332000000000001</v>
      </c>
    </row>
    <row r="32" spans="2:7" ht="15" customHeight="1" x14ac:dyDescent="0.25">
      <c r="B32" s="424">
        <f t="shared" ref="B32:B83" si="6">+B31+1</f>
        <v>21</v>
      </c>
      <c r="C32" s="425" t="s">
        <v>58</v>
      </c>
      <c r="D32" s="285">
        <f>+D29+D30+D31</f>
        <v>43.326999999999998</v>
      </c>
    </row>
    <row r="33" spans="2:4" ht="15" customHeight="1" x14ac:dyDescent="0.25">
      <c r="B33" s="424">
        <v>22</v>
      </c>
      <c r="C33" s="553" t="s">
        <v>357</v>
      </c>
      <c r="D33" s="552"/>
    </row>
    <row r="34" spans="2:4" ht="15" customHeight="1" x14ac:dyDescent="0.25">
      <c r="B34" s="424">
        <f t="shared" si="1"/>
        <v>23</v>
      </c>
      <c r="C34" s="34" t="s">
        <v>43</v>
      </c>
      <c r="D34" s="37">
        <v>81.632999999999996</v>
      </c>
    </row>
    <row r="35" spans="2:4" x14ac:dyDescent="0.25">
      <c r="B35" s="424">
        <v>24</v>
      </c>
      <c r="C35" s="425" t="s">
        <v>58</v>
      </c>
      <c r="D35" s="285">
        <f>+SUM(D34)</f>
        <v>81.632999999999996</v>
      </c>
    </row>
    <row r="36" spans="2:4" x14ac:dyDescent="0.25">
      <c r="B36" s="424">
        <f t="shared" si="2"/>
        <v>25</v>
      </c>
      <c r="C36" s="554" t="s">
        <v>358</v>
      </c>
      <c r="D36" s="555"/>
    </row>
    <row r="37" spans="2:4" x14ac:dyDescent="0.25">
      <c r="B37" s="424">
        <v>26</v>
      </c>
      <c r="C37" s="34" t="s">
        <v>43</v>
      </c>
      <c r="D37" s="285">
        <f>32.5</f>
        <v>32.5</v>
      </c>
    </row>
    <row r="38" spans="2:4" x14ac:dyDescent="0.25">
      <c r="B38" s="424">
        <f t="shared" si="3"/>
        <v>27</v>
      </c>
      <c r="C38" s="425" t="s">
        <v>58</v>
      </c>
      <c r="D38" s="428">
        <f>+SUM(D37)</f>
        <v>32.5</v>
      </c>
    </row>
    <row r="39" spans="2:4" ht="19.899999999999999" customHeight="1" x14ac:dyDescent="0.25">
      <c r="B39" s="424">
        <v>28</v>
      </c>
      <c r="C39" s="579" t="s">
        <v>236</v>
      </c>
      <c r="D39" s="580"/>
    </row>
    <row r="40" spans="2:4" ht="18.75" customHeight="1" x14ac:dyDescent="0.25">
      <c r="B40" s="424">
        <f t="shared" si="2"/>
        <v>29</v>
      </c>
      <c r="C40" s="34" t="s">
        <v>55</v>
      </c>
      <c r="D40" s="37">
        <v>26.4</v>
      </c>
    </row>
    <row r="41" spans="2:4" x14ac:dyDescent="0.25">
      <c r="B41" s="424">
        <v>30</v>
      </c>
      <c r="C41" s="425" t="s">
        <v>58</v>
      </c>
      <c r="D41" s="285">
        <f>+D40</f>
        <v>26.4</v>
      </c>
    </row>
    <row r="42" spans="2:4" ht="27.75" customHeight="1" x14ac:dyDescent="0.25">
      <c r="B42" s="424">
        <f t="shared" si="4"/>
        <v>31</v>
      </c>
      <c r="C42" s="553" t="s">
        <v>322</v>
      </c>
      <c r="D42" s="552"/>
    </row>
    <row r="43" spans="2:4" ht="18.75" customHeight="1" x14ac:dyDescent="0.25">
      <c r="B43" s="424">
        <v>32</v>
      </c>
      <c r="C43" s="5" t="s">
        <v>68</v>
      </c>
      <c r="D43" s="429">
        <v>28.14</v>
      </c>
    </row>
    <row r="44" spans="2:4" ht="18.75" customHeight="1" x14ac:dyDescent="0.25">
      <c r="B44" s="424">
        <f t="shared" si="2"/>
        <v>33</v>
      </c>
      <c r="C44" s="5" t="s">
        <v>106</v>
      </c>
      <c r="D44" s="50">
        <v>2.8140000000000001</v>
      </c>
    </row>
    <row r="45" spans="2:4" ht="18.75" customHeight="1" x14ac:dyDescent="0.25">
      <c r="B45" s="424">
        <v>34</v>
      </c>
      <c r="C45" s="425" t="s">
        <v>58</v>
      </c>
      <c r="D45" s="285">
        <f>+D43+D44</f>
        <v>30.954000000000001</v>
      </c>
    </row>
    <row r="46" spans="2:4" ht="40.5" customHeight="1" x14ac:dyDescent="0.25">
      <c r="B46" s="424">
        <v>35</v>
      </c>
      <c r="C46" s="551" t="s">
        <v>308</v>
      </c>
      <c r="D46" s="552"/>
    </row>
    <row r="47" spans="2:4" ht="18.75" customHeight="1" x14ac:dyDescent="0.25">
      <c r="B47" s="424">
        <f t="shared" ref="B47" si="7">+B46+1</f>
        <v>36</v>
      </c>
      <c r="C47" s="430" t="s">
        <v>43</v>
      </c>
      <c r="D47" s="37">
        <f>86.4+5.2-2.9</f>
        <v>88.7</v>
      </c>
    </row>
    <row r="48" spans="2:4" ht="18.75" customHeight="1" x14ac:dyDescent="0.25">
      <c r="B48" s="424">
        <v>37</v>
      </c>
      <c r="C48" s="425" t="s">
        <v>58</v>
      </c>
      <c r="D48" s="285">
        <f>D47</f>
        <v>88.7</v>
      </c>
    </row>
    <row r="49" spans="2:5" ht="18.75" customHeight="1" x14ac:dyDescent="0.25">
      <c r="B49" s="424">
        <f t="shared" si="6"/>
        <v>38</v>
      </c>
      <c r="C49" s="559" t="s">
        <v>182</v>
      </c>
      <c r="D49" s="560"/>
    </row>
    <row r="50" spans="2:5" ht="18.75" customHeight="1" x14ac:dyDescent="0.25">
      <c r="B50" s="424">
        <v>39</v>
      </c>
      <c r="C50" s="5" t="s">
        <v>355</v>
      </c>
      <c r="D50" s="37">
        <f>151.171</f>
        <v>151.17099999999999</v>
      </c>
    </row>
    <row r="51" spans="2:5" x14ac:dyDescent="0.25">
      <c r="B51" s="424">
        <f t="shared" si="1"/>
        <v>40</v>
      </c>
      <c r="C51" s="5" t="s">
        <v>43</v>
      </c>
      <c r="D51" s="5">
        <v>92.278000000000006</v>
      </c>
      <c r="E51" s="9"/>
    </row>
    <row r="52" spans="2:5" ht="18.75" customHeight="1" x14ac:dyDescent="0.25">
      <c r="B52" s="424">
        <v>41</v>
      </c>
      <c r="C52" s="425" t="s">
        <v>58</v>
      </c>
      <c r="D52" s="285">
        <f>+SUM(D50:D51)</f>
        <v>243.44900000000001</v>
      </c>
    </row>
    <row r="53" spans="2:5" ht="18.75" customHeight="1" x14ac:dyDescent="0.25">
      <c r="B53" s="424">
        <f t="shared" si="2"/>
        <v>42</v>
      </c>
      <c r="C53" s="431" t="s">
        <v>53</v>
      </c>
      <c r="D53" s="285">
        <f>+D21+D24+D32+D41+D45+D52+D27+D35+D38+D48</f>
        <v>804.56799999999998</v>
      </c>
    </row>
    <row r="54" spans="2:5" x14ac:dyDescent="0.25">
      <c r="B54" s="424">
        <v>43</v>
      </c>
      <c r="C54" s="509" t="s">
        <v>61</v>
      </c>
      <c r="D54" s="511"/>
    </row>
    <row r="55" spans="2:5" x14ac:dyDescent="0.25">
      <c r="B55" s="424">
        <f t="shared" si="3"/>
        <v>44</v>
      </c>
      <c r="C55" s="569" t="s">
        <v>181</v>
      </c>
      <c r="D55" s="570"/>
    </row>
    <row r="56" spans="2:5" x14ac:dyDescent="0.25">
      <c r="B56" s="424">
        <v>45</v>
      </c>
      <c r="C56" s="283" t="s">
        <v>60</v>
      </c>
      <c r="D56" s="432"/>
    </row>
    <row r="57" spans="2:5" x14ac:dyDescent="0.25">
      <c r="B57" s="424">
        <f t="shared" si="2"/>
        <v>46</v>
      </c>
      <c r="C57" s="433" t="s">
        <v>144</v>
      </c>
      <c r="D57" s="434">
        <v>2348.6</v>
      </c>
      <c r="E57" s="2"/>
    </row>
    <row r="58" spans="2:5" x14ac:dyDescent="0.25">
      <c r="B58" s="424">
        <v>47</v>
      </c>
      <c r="C58" s="435" t="s">
        <v>58</v>
      </c>
      <c r="D58" s="285">
        <f>+D57</f>
        <v>2348.6</v>
      </c>
    </row>
    <row r="59" spans="2:5" x14ac:dyDescent="0.25">
      <c r="B59" s="424">
        <f t="shared" si="4"/>
        <v>48</v>
      </c>
      <c r="C59" s="426" t="s">
        <v>53</v>
      </c>
      <c r="D59" s="285">
        <f>+D58</f>
        <v>2348.6</v>
      </c>
    </row>
    <row r="60" spans="2:5" ht="16.5" customHeight="1" x14ac:dyDescent="0.25">
      <c r="B60" s="424">
        <v>49</v>
      </c>
      <c r="C60" s="571" t="s">
        <v>59</v>
      </c>
      <c r="D60" s="572"/>
    </row>
    <row r="61" spans="2:5" ht="15.75" customHeight="1" x14ac:dyDescent="0.25">
      <c r="B61" s="424">
        <f t="shared" si="2"/>
        <v>50</v>
      </c>
      <c r="C61" s="573" t="s">
        <v>287</v>
      </c>
      <c r="D61" s="574"/>
      <c r="E61" s="436"/>
    </row>
    <row r="62" spans="2:5" ht="15.75" customHeight="1" x14ac:dyDescent="0.25">
      <c r="B62" s="424">
        <v>51</v>
      </c>
      <c r="C62" s="437" t="s">
        <v>60</v>
      </c>
      <c r="D62" s="438"/>
      <c r="E62" s="436"/>
    </row>
    <row r="63" spans="2:5" s="9" customFormat="1" ht="18.75" customHeight="1" x14ac:dyDescent="0.25">
      <c r="B63" s="424">
        <v>52</v>
      </c>
      <c r="C63" s="439" t="s">
        <v>460</v>
      </c>
      <c r="D63" s="70">
        <v>1328.4770000000001</v>
      </c>
      <c r="E63" s="440"/>
    </row>
    <row r="64" spans="2:5" s="9" customFormat="1" ht="15.75" customHeight="1" x14ac:dyDescent="0.25">
      <c r="B64" s="424">
        <f t="shared" ref="B64" si="8">+B63+1</f>
        <v>53</v>
      </c>
      <c r="C64" s="439" t="s">
        <v>350</v>
      </c>
      <c r="D64" s="70">
        <v>318.09699999999998</v>
      </c>
      <c r="E64" s="440"/>
    </row>
    <row r="65" spans="2:7" ht="17.25" customHeight="1" x14ac:dyDescent="0.25">
      <c r="B65" s="424">
        <v>54</v>
      </c>
      <c r="C65" s="435" t="s">
        <v>58</v>
      </c>
      <c r="D65" s="285">
        <f>+D63+D64</f>
        <v>1646.5740000000001</v>
      </c>
    </row>
    <row r="66" spans="2:7" ht="14.25" customHeight="1" x14ac:dyDescent="0.25">
      <c r="B66" s="424">
        <f t="shared" si="6"/>
        <v>55</v>
      </c>
      <c r="C66" s="559" t="s">
        <v>182</v>
      </c>
      <c r="D66" s="560"/>
    </row>
    <row r="67" spans="2:7" ht="13.5" customHeight="1" x14ac:dyDescent="0.25">
      <c r="B67" s="424">
        <v>56</v>
      </c>
      <c r="C67" s="441" t="s">
        <v>60</v>
      </c>
      <c r="D67" s="442"/>
    </row>
    <row r="68" spans="2:7" x14ac:dyDescent="0.25">
      <c r="B68" s="424">
        <f t="shared" si="1"/>
        <v>57</v>
      </c>
      <c r="C68" s="443" t="s">
        <v>183</v>
      </c>
      <c r="D68" s="444">
        <f>1381.889+210.377</f>
        <v>1592.2659999999998</v>
      </c>
      <c r="E68" s="436"/>
      <c r="F68" s="436"/>
    </row>
    <row r="69" spans="2:7" ht="26.25" x14ac:dyDescent="0.25">
      <c r="B69" s="424">
        <v>58</v>
      </c>
      <c r="C69" s="443" t="s">
        <v>184</v>
      </c>
      <c r="D69" s="445">
        <v>1064.0920000000001</v>
      </c>
      <c r="E69" s="446"/>
      <c r="F69" s="436"/>
      <c r="G69" s="27"/>
    </row>
    <row r="70" spans="2:7" x14ac:dyDescent="0.25">
      <c r="B70" s="424">
        <f t="shared" si="2"/>
        <v>59</v>
      </c>
      <c r="C70" s="110" t="s">
        <v>343</v>
      </c>
      <c r="D70" s="70">
        <v>855.31500000000005</v>
      </c>
      <c r="E70" s="446"/>
      <c r="F70" s="436"/>
    </row>
    <row r="71" spans="2:7" ht="25.5" x14ac:dyDescent="0.25">
      <c r="B71" s="424">
        <v>60</v>
      </c>
      <c r="C71" s="110" t="s">
        <v>344</v>
      </c>
      <c r="D71" s="70"/>
      <c r="E71" s="446"/>
      <c r="F71" s="436"/>
    </row>
    <row r="72" spans="2:7" x14ac:dyDescent="0.25">
      <c r="B72" s="424">
        <f t="shared" si="3"/>
        <v>61</v>
      </c>
      <c r="C72" s="447" t="s">
        <v>58</v>
      </c>
      <c r="D72" s="448">
        <f>+D68+D69+D70+D71</f>
        <v>3511.6730000000002</v>
      </c>
    </row>
    <row r="73" spans="2:7" x14ac:dyDescent="0.25">
      <c r="B73" s="424">
        <v>62</v>
      </c>
      <c r="C73" s="426" t="s">
        <v>53</v>
      </c>
      <c r="D73" s="285">
        <f>+D65+D72</f>
        <v>5158.2470000000003</v>
      </c>
    </row>
    <row r="74" spans="2:7" ht="30.75" customHeight="1" x14ac:dyDescent="0.25">
      <c r="B74" s="424">
        <f t="shared" si="2"/>
        <v>63</v>
      </c>
      <c r="C74" s="562" t="s">
        <v>238</v>
      </c>
      <c r="D74" s="563"/>
    </row>
    <row r="75" spans="2:7" ht="16.149999999999999" customHeight="1" x14ac:dyDescent="0.25">
      <c r="B75" s="424">
        <v>64</v>
      </c>
      <c r="C75" s="554" t="s">
        <v>136</v>
      </c>
      <c r="D75" s="555"/>
    </row>
    <row r="76" spans="2:7" x14ac:dyDescent="0.25">
      <c r="B76" s="424">
        <f t="shared" si="4"/>
        <v>65</v>
      </c>
      <c r="C76" s="46" t="s">
        <v>119</v>
      </c>
      <c r="D76" s="37">
        <v>42.567999999999998</v>
      </c>
    </row>
    <row r="77" spans="2:7" x14ac:dyDescent="0.25">
      <c r="B77" s="424">
        <v>66</v>
      </c>
      <c r="C77" s="425" t="s">
        <v>58</v>
      </c>
      <c r="D77" s="285">
        <f>+D76</f>
        <v>42.567999999999998</v>
      </c>
    </row>
    <row r="78" spans="2:7" x14ac:dyDescent="0.25">
      <c r="B78" s="424">
        <f t="shared" si="2"/>
        <v>67</v>
      </c>
      <c r="C78" s="426" t="s">
        <v>53</v>
      </c>
      <c r="D78" s="285">
        <f>D77</f>
        <v>42.567999999999998</v>
      </c>
    </row>
    <row r="79" spans="2:7" x14ac:dyDescent="0.25">
      <c r="B79" s="424">
        <v>68</v>
      </c>
      <c r="C79" s="575" t="s">
        <v>237</v>
      </c>
      <c r="D79" s="576"/>
    </row>
    <row r="80" spans="2:7" x14ac:dyDescent="0.25">
      <c r="B80" s="424">
        <v>69</v>
      </c>
      <c r="C80" s="577" t="s">
        <v>138</v>
      </c>
      <c r="D80" s="578"/>
    </row>
    <row r="81" spans="2:5" x14ac:dyDescent="0.25">
      <c r="B81" s="424">
        <f t="shared" ref="B81" si="9">+B80+1</f>
        <v>70</v>
      </c>
      <c r="C81" s="437" t="s">
        <v>60</v>
      </c>
      <c r="D81" s="432"/>
    </row>
    <row r="82" spans="2:5" x14ac:dyDescent="0.25">
      <c r="B82" s="424">
        <v>71</v>
      </c>
      <c r="C82" s="449" t="s">
        <v>123</v>
      </c>
      <c r="D82" s="37">
        <v>266.03199999999998</v>
      </c>
      <c r="E82" s="35"/>
    </row>
    <row r="83" spans="2:5" x14ac:dyDescent="0.25">
      <c r="B83" s="424">
        <f t="shared" si="6"/>
        <v>72</v>
      </c>
      <c r="C83" s="435" t="s">
        <v>58</v>
      </c>
      <c r="D83" s="285">
        <f>+D82</f>
        <v>266.03199999999998</v>
      </c>
    </row>
    <row r="84" spans="2:5" ht="25.5" customHeight="1" x14ac:dyDescent="0.25">
      <c r="B84" s="424">
        <v>73</v>
      </c>
      <c r="C84" s="549" t="s">
        <v>36</v>
      </c>
      <c r="D84" s="550"/>
    </row>
    <row r="85" spans="2:5" x14ac:dyDescent="0.25">
      <c r="B85" s="424">
        <f t="shared" ref="B85" si="10">+B84+1</f>
        <v>74</v>
      </c>
      <c r="C85" s="450"/>
      <c r="D85" s="451"/>
      <c r="E85" s="35"/>
    </row>
    <row r="86" spans="2:5" x14ac:dyDescent="0.25">
      <c r="B86" s="424">
        <v>75</v>
      </c>
      <c r="C86" s="452" t="s">
        <v>63</v>
      </c>
      <c r="D86" s="37">
        <v>40</v>
      </c>
    </row>
    <row r="87" spans="2:5" x14ac:dyDescent="0.25">
      <c r="B87" s="424">
        <f t="shared" ref="B87:B95" si="11">+B86+1</f>
        <v>76</v>
      </c>
      <c r="C87" s="435" t="s">
        <v>58</v>
      </c>
      <c r="D87" s="285">
        <f>SUM(D85:D86)</f>
        <v>40</v>
      </c>
    </row>
    <row r="88" spans="2:5" x14ac:dyDescent="0.25">
      <c r="B88" s="424">
        <v>77</v>
      </c>
      <c r="C88" s="554" t="s">
        <v>140</v>
      </c>
      <c r="D88" s="555"/>
    </row>
    <row r="89" spans="2:5" x14ac:dyDescent="0.25">
      <c r="B89" s="424">
        <f t="shared" ref="B89" si="12">+B88+1</f>
        <v>78</v>
      </c>
      <c r="C89" s="5" t="s">
        <v>62</v>
      </c>
      <c r="D89" s="37">
        <f>143</f>
        <v>143</v>
      </c>
      <c r="E89" s="38"/>
    </row>
    <row r="90" spans="2:5" x14ac:dyDescent="0.25">
      <c r="B90" s="424">
        <v>79</v>
      </c>
      <c r="C90" s="425" t="s">
        <v>58</v>
      </c>
      <c r="D90" s="285">
        <f>+D89</f>
        <v>143</v>
      </c>
    </row>
    <row r="91" spans="2:5" ht="27" customHeight="1" x14ac:dyDescent="0.25">
      <c r="B91" s="424">
        <f t="shared" si="11"/>
        <v>80</v>
      </c>
      <c r="C91" s="567" t="s">
        <v>340</v>
      </c>
      <c r="D91" s="568"/>
    </row>
    <row r="92" spans="2:5" x14ac:dyDescent="0.25">
      <c r="B92" s="424">
        <v>81</v>
      </c>
      <c r="C92" s="46" t="s">
        <v>72</v>
      </c>
      <c r="D92" s="37">
        <v>4.766</v>
      </c>
    </row>
    <row r="93" spans="2:5" x14ac:dyDescent="0.25">
      <c r="B93" s="424">
        <f t="shared" ref="B93" si="13">+B92+1</f>
        <v>82</v>
      </c>
      <c r="C93" s="46" t="s">
        <v>369</v>
      </c>
      <c r="D93" s="37">
        <v>4.766</v>
      </c>
    </row>
    <row r="94" spans="2:5" x14ac:dyDescent="0.25">
      <c r="B94" s="424">
        <v>83</v>
      </c>
      <c r="C94" s="435" t="s">
        <v>58</v>
      </c>
      <c r="D94" s="285">
        <f>+SUM(D92:D93)</f>
        <v>9.532</v>
      </c>
    </row>
    <row r="95" spans="2:5" ht="27" customHeight="1" x14ac:dyDescent="0.25">
      <c r="B95" s="424">
        <f t="shared" si="11"/>
        <v>84</v>
      </c>
      <c r="C95" s="549" t="s">
        <v>428</v>
      </c>
      <c r="D95" s="550"/>
    </row>
    <row r="96" spans="2:5" x14ac:dyDescent="0.25">
      <c r="B96" s="424">
        <v>85</v>
      </c>
      <c r="C96" s="437" t="s">
        <v>283</v>
      </c>
      <c r="D96" s="285">
        <v>30</v>
      </c>
    </row>
    <row r="97" spans="2:8" x14ac:dyDescent="0.25">
      <c r="B97" s="424">
        <v>86</v>
      </c>
      <c r="C97" s="435" t="s">
        <v>58</v>
      </c>
      <c r="D97" s="285">
        <f>+D96</f>
        <v>30</v>
      </c>
    </row>
    <row r="98" spans="2:8" x14ac:dyDescent="0.25">
      <c r="B98" s="424">
        <v>87</v>
      </c>
      <c r="C98" s="426" t="s">
        <v>53</v>
      </c>
      <c r="D98" s="285">
        <f>+D83+D87+D90+D94+D97</f>
        <v>488.56399999999996</v>
      </c>
    </row>
    <row r="99" spans="2:8" ht="15" customHeight="1" x14ac:dyDescent="0.25">
      <c r="B99" s="424">
        <v>88</v>
      </c>
      <c r="C99" s="435" t="s">
        <v>186</v>
      </c>
      <c r="D99" s="45">
        <f>D73+D59+D17+D78+D98+D53</f>
        <v>9156.8709999999992</v>
      </c>
      <c r="F99" s="453"/>
      <c r="G99" s="27"/>
    </row>
    <row r="100" spans="2:8" x14ac:dyDescent="0.25">
      <c r="C100" s="454"/>
      <c r="D100" s="455"/>
    </row>
    <row r="101" spans="2:8" x14ac:dyDescent="0.25">
      <c r="C101" s="57"/>
      <c r="D101" s="456"/>
    </row>
    <row r="102" spans="2:8" x14ac:dyDescent="0.25">
      <c r="C102" s="457"/>
      <c r="D102" s="458"/>
      <c r="G102" s="27"/>
      <c r="H102" s="27"/>
    </row>
    <row r="103" spans="2:8" x14ac:dyDescent="0.25">
      <c r="C103" s="28"/>
      <c r="D103" s="459"/>
    </row>
    <row r="104" spans="2:8" x14ac:dyDescent="0.25">
      <c r="C104" s="28"/>
      <c r="D104" s="459"/>
    </row>
    <row r="105" spans="2:8" x14ac:dyDescent="0.25">
      <c r="C105" s="6"/>
      <c r="D105" s="99"/>
    </row>
    <row r="106" spans="2:8" x14ac:dyDescent="0.25">
      <c r="C106" s="59"/>
      <c r="D106" s="100"/>
    </row>
  </sheetData>
  <mergeCells count="32">
    <mergeCell ref="C9:C11"/>
    <mergeCell ref="D9:D11"/>
    <mergeCell ref="C14:D14"/>
    <mergeCell ref="C36:D36"/>
    <mergeCell ref="C91:D91"/>
    <mergeCell ref="C74:D74"/>
    <mergeCell ref="C55:D55"/>
    <mergeCell ref="C60:D60"/>
    <mergeCell ref="C61:D61"/>
    <mergeCell ref="C66:D66"/>
    <mergeCell ref="C75:D75"/>
    <mergeCell ref="C79:D79"/>
    <mergeCell ref="C80:D80"/>
    <mergeCell ref="C84:D84"/>
    <mergeCell ref="C39:D39"/>
    <mergeCell ref="C54:D54"/>
    <mergeCell ref="C95:D95"/>
    <mergeCell ref="C46:D46"/>
    <mergeCell ref="C42:D42"/>
    <mergeCell ref="C88:D88"/>
    <mergeCell ref="B6:D6"/>
    <mergeCell ref="C22:D22"/>
    <mergeCell ref="C28:D28"/>
    <mergeCell ref="C49:D49"/>
    <mergeCell ref="C25:D25"/>
    <mergeCell ref="C33:D33"/>
    <mergeCell ref="B7:D7"/>
    <mergeCell ref="C12:D12"/>
    <mergeCell ref="C13:D13"/>
    <mergeCell ref="C18:D18"/>
    <mergeCell ref="C19:D19"/>
    <mergeCell ref="B9:B11"/>
  </mergeCells>
  <pageMargins left="0.31496062992125984" right="0.11811023622047245" top="0.15748031496062992" bottom="0.15748031496062992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9F94-3CDA-4998-A5C2-A086CDFA1499}">
  <sheetPr>
    <pageSetUpPr fitToPage="1"/>
  </sheetPr>
  <dimension ref="B1:O24"/>
  <sheetViews>
    <sheetView zoomScaleNormal="100" workbookViewId="0">
      <selection activeCell="H13" sqref="H13"/>
    </sheetView>
  </sheetViews>
  <sheetFormatPr defaultColWidth="9.140625" defaultRowHeight="15" x14ac:dyDescent="0.25"/>
  <cols>
    <col min="1" max="1" width="9.140625" style="2"/>
    <col min="2" max="2" width="3.85546875" style="22" customWidth="1"/>
    <col min="3" max="3" width="56.140625" style="2" customWidth="1"/>
    <col min="4" max="4" width="21.28515625" style="2" customWidth="1"/>
    <col min="5" max="5" width="13.7109375" style="2" customWidth="1"/>
    <col min="6" max="240" width="9.140625" style="2"/>
    <col min="241" max="241" width="3.85546875" style="2" customWidth="1"/>
    <col min="242" max="242" width="47.28515625" style="2" customWidth="1"/>
    <col min="243" max="243" width="9.42578125" style="2" customWidth="1"/>
    <col min="244" max="16384" width="9.140625" style="2"/>
  </cols>
  <sheetData>
    <row r="1" spans="2:5" x14ac:dyDescent="0.25">
      <c r="D1" s="26" t="s">
        <v>0</v>
      </c>
    </row>
    <row r="2" spans="2:5" x14ac:dyDescent="0.25">
      <c r="D2" s="26" t="s">
        <v>457</v>
      </c>
    </row>
    <row r="3" spans="2:5" x14ac:dyDescent="0.25">
      <c r="D3" s="26" t="s">
        <v>366</v>
      </c>
    </row>
    <row r="4" spans="2:5" x14ac:dyDescent="0.25">
      <c r="D4" s="2" t="s">
        <v>232</v>
      </c>
    </row>
    <row r="6" spans="2:5" ht="15.75" x14ac:dyDescent="0.25">
      <c r="B6" s="556" t="s">
        <v>470</v>
      </c>
      <c r="C6" s="556"/>
      <c r="D6" s="556"/>
    </row>
    <row r="7" spans="2:5" ht="15.75" x14ac:dyDescent="0.25">
      <c r="B7" s="499"/>
      <c r="C7" s="499"/>
      <c r="D7" s="499"/>
    </row>
    <row r="8" spans="2:5" ht="15.75" x14ac:dyDescent="0.25">
      <c r="B8" s="280"/>
      <c r="C8" s="21"/>
      <c r="D8" s="23" t="s">
        <v>196</v>
      </c>
    </row>
    <row r="9" spans="2:5" ht="14.45" customHeight="1" x14ac:dyDescent="0.25">
      <c r="B9" s="514" t="s">
        <v>2</v>
      </c>
      <c r="C9" s="581" t="s">
        <v>57</v>
      </c>
      <c r="D9" s="565" t="s">
        <v>195</v>
      </c>
    </row>
    <row r="10" spans="2:5" x14ac:dyDescent="0.25">
      <c r="B10" s="514"/>
      <c r="C10" s="582"/>
      <c r="D10" s="520"/>
    </row>
    <row r="11" spans="2:5" x14ac:dyDescent="0.25">
      <c r="B11" s="514"/>
      <c r="C11" s="583"/>
      <c r="D11" s="521"/>
    </row>
    <row r="12" spans="2:5" x14ac:dyDescent="0.25">
      <c r="B12" s="279">
        <v>1</v>
      </c>
      <c r="C12" s="503" t="s">
        <v>61</v>
      </c>
      <c r="D12" s="503"/>
    </row>
    <row r="13" spans="2:5" x14ac:dyDescent="0.25">
      <c r="B13" s="279">
        <f>+B12+1</f>
        <v>2</v>
      </c>
      <c r="C13" s="5" t="s">
        <v>346</v>
      </c>
      <c r="D13" s="37">
        <v>1000</v>
      </c>
    </row>
    <row r="14" spans="2:5" x14ac:dyDescent="0.25">
      <c r="B14" s="279">
        <f t="shared" ref="B14:B19" si="0">+B13+1</f>
        <v>3</v>
      </c>
      <c r="C14" s="325" t="s">
        <v>53</v>
      </c>
      <c r="D14" s="285">
        <f>+D13</f>
        <v>1000</v>
      </c>
    </row>
    <row r="15" spans="2:5" x14ac:dyDescent="0.25">
      <c r="B15" s="279">
        <f t="shared" si="0"/>
        <v>4</v>
      </c>
      <c r="C15" s="325"/>
      <c r="D15" s="307"/>
    </row>
    <row r="16" spans="2:5" s="22" customFormat="1" ht="16.5" customHeight="1" x14ac:dyDescent="0.25">
      <c r="B16" s="279">
        <f t="shared" si="0"/>
        <v>5</v>
      </c>
      <c r="C16" s="503" t="s">
        <v>59</v>
      </c>
      <c r="D16" s="503"/>
      <c r="E16" s="460"/>
    </row>
    <row r="17" spans="2:15" s="22" customFormat="1" ht="24.75" customHeight="1" x14ac:dyDescent="0.25">
      <c r="B17" s="279">
        <f t="shared" si="0"/>
        <v>6</v>
      </c>
      <c r="C17" s="5" t="s">
        <v>346</v>
      </c>
      <c r="D17" s="70">
        <v>2086.665</v>
      </c>
      <c r="E17" s="303"/>
      <c r="N17" s="63"/>
      <c r="O17" s="12"/>
    </row>
    <row r="18" spans="2:15" x14ac:dyDescent="0.25">
      <c r="B18" s="279">
        <f t="shared" si="0"/>
        <v>7</v>
      </c>
      <c r="C18" s="325" t="s">
        <v>53</v>
      </c>
      <c r="D18" s="285">
        <f>+D17</f>
        <v>2086.665</v>
      </c>
      <c r="N18" s="102"/>
      <c r="O18" s="49"/>
    </row>
    <row r="19" spans="2:15" ht="16.5" customHeight="1" x14ac:dyDescent="0.25">
      <c r="B19" s="279">
        <f t="shared" si="0"/>
        <v>8</v>
      </c>
      <c r="C19" s="325" t="s">
        <v>4</v>
      </c>
      <c r="D19" s="285">
        <f>+D14+D18</f>
        <v>3086.665</v>
      </c>
    </row>
    <row r="20" spans="2:15" x14ac:dyDescent="0.25">
      <c r="B20" s="461"/>
      <c r="C20" s="462"/>
      <c r="D20" s="462"/>
    </row>
    <row r="21" spans="2:15" x14ac:dyDescent="0.25">
      <c r="C21" s="463"/>
    </row>
    <row r="22" spans="2:15" x14ac:dyDescent="0.25">
      <c r="C22" s="16"/>
      <c r="D22" s="4"/>
    </row>
    <row r="23" spans="2:15" x14ac:dyDescent="0.25">
      <c r="C23" s="464"/>
      <c r="D23" s="26"/>
    </row>
    <row r="24" spans="2:15" x14ac:dyDescent="0.25">
      <c r="D24" s="26"/>
    </row>
  </sheetData>
  <mergeCells count="7">
    <mergeCell ref="C16:D16"/>
    <mergeCell ref="B6:D6"/>
    <mergeCell ref="B7:D7"/>
    <mergeCell ref="B9:B11"/>
    <mergeCell ref="C9:C11"/>
    <mergeCell ref="D9:D11"/>
    <mergeCell ref="C12:D12"/>
  </mergeCells>
  <pageMargins left="0.31496062992125984" right="0.11811023622047245" top="0.35433070866141736" bottom="0.35433070866141736" header="0.31496062992125984" footer="0.31496062992125984"/>
  <pageSetup paperSize="9" scale="9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17f703-329e-4cff-8b1a-ffb6df8ba6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74EE5A9775274799956C78890F3CE6" ma:contentTypeVersion="13" ma:contentTypeDescription="Create a new document." ma:contentTypeScope="" ma:versionID="2d3e3acff887e9007f455f9862247df1">
  <xsd:schema xmlns:xsd="http://www.w3.org/2001/XMLSchema" xmlns:xs="http://www.w3.org/2001/XMLSchema" xmlns:p="http://schemas.microsoft.com/office/2006/metadata/properties" xmlns:ns3="5b17f703-329e-4cff-8b1a-ffb6df8ba6b5" xmlns:ns4="f1776671-6888-4b43-b26d-b31f98c46a7f" targetNamespace="http://schemas.microsoft.com/office/2006/metadata/properties" ma:root="true" ma:fieldsID="65dbc63ce8287a5bfe5499a39d7644d9" ns3:_="" ns4:_="">
    <xsd:import namespace="5b17f703-329e-4cff-8b1a-ffb6df8ba6b5"/>
    <xsd:import namespace="f1776671-6888-4b43-b26d-b31f98c46a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7f703-329e-4cff-8b1a-ffb6df8ba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76671-6888-4b43-b26d-b31f98c46a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EA818-ADCB-413F-97E3-9D2D9061EF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B983A-5F64-418E-ACDF-E16C46C6C892}">
  <ds:schemaRefs>
    <ds:schemaRef ds:uri="http://www.w3.org/XML/1998/namespace"/>
    <ds:schemaRef ds:uri="http://purl.org/dc/elements/1.1/"/>
    <ds:schemaRef ds:uri="f1776671-6888-4b43-b26d-b31f98c46a7f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5b17f703-329e-4cff-8b1a-ffb6df8ba6b5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EF825DE-2CAC-4E37-859E-E824409FB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17f703-329e-4cff-8b1a-ffb6df8ba6b5"/>
    <ds:schemaRef ds:uri="f1776671-6888-4b43-b26d-b31f98c46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 priedas</vt:lpstr>
      <vt:lpstr>2 priedas </vt:lpstr>
      <vt:lpstr>3 priedas</vt:lpstr>
      <vt:lpstr>4 priedas</vt:lpstr>
      <vt:lpstr>5 priedas</vt:lpstr>
      <vt:lpstr>6 priedas</vt:lpstr>
      <vt:lpstr>7 priedas</vt:lpstr>
      <vt:lpstr>8 priedas</vt:lpstr>
      <vt:lpstr> 9 priedas</vt:lpstr>
      <vt:lpstr>10 priedas</vt:lpstr>
      <vt:lpstr>11 priedas</vt:lpstr>
      <vt:lpstr>12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Sigita Auryliene</dc:creator>
  <cp:lastModifiedBy>Diana Bagdevičienė</cp:lastModifiedBy>
  <cp:lastPrinted>2026-02-04T10:28:50Z</cp:lastPrinted>
  <dcterms:created xsi:type="dcterms:W3CDTF">2019-06-11T11:41:17Z</dcterms:created>
  <dcterms:modified xsi:type="dcterms:W3CDTF">2026-02-04T11:01:23Z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0x010100D574EE5A9775274799956C78890F3CE6</vt:lpwstr>
  </property>
</Properties>
</file>